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bookViews>
  <sheets>
    <sheet name="综合素质测评成绩" sheetId="1" r:id="rId1"/>
    <sheet name="智育测评" sheetId="3" r:id="rId2"/>
    <sheet name="德育测评" sheetId="2" r:id="rId3"/>
    <sheet name="文体测评" sheetId="4" r:id="rId4"/>
  </sheets>
  <definedNames>
    <definedName name="_xlnm._FilterDatabase" localSheetId="0" hidden="1">综合素质测评成绩!$A$3:$P$160</definedName>
    <definedName name="_xlnm._FilterDatabase" localSheetId="1" hidden="1">智育测评!$A$3:$O$160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70" name="ID_896B9B305CF24B5AA7BED551FA90A4A5"/>
        <xdr:cNvPicPr>
          <a:picLocks noChangeAspect="1"/>
        </xdr:cNvPicPr>
      </xdr:nvPicPr>
      <xdr:blipFill>
        <a:blip r:embed="rId1" r:link="rId2"/>
        <a:stretch>
          <a:fillRect/>
        </a:stretch>
      </xdr:blipFill>
      <xdr:spPr>
        <a:xfrm>
          <a:off x="13559155" y="755650"/>
          <a:ext cx="430530" cy="217170"/>
        </a:xfrm>
        <a:prstGeom prst="rect">
          <a:avLst/>
        </a:prstGeom>
        <a:noFill/>
        <a:ln w="9525">
          <a:noFill/>
        </a:ln>
      </xdr:spPr>
    </xdr:pic>
  </etc:cellImage>
  <etc:cellImage>
    <xdr:pic>
      <xdr:nvPicPr>
        <xdr:cNvPr id="91" name="ID_BA61EB51BBFE4035B680B7197EFE732F"/>
        <xdr:cNvPicPr>
          <a:picLocks noChangeAspect="1"/>
        </xdr:cNvPicPr>
      </xdr:nvPicPr>
      <xdr:blipFill>
        <a:blip r:embed="rId3" r:link="rId2"/>
        <a:stretch>
          <a:fillRect/>
        </a:stretch>
      </xdr:blipFill>
      <xdr:spPr>
        <a:xfrm>
          <a:off x="13623925" y="9271000"/>
          <a:ext cx="533400" cy="217170"/>
        </a:xfrm>
        <a:prstGeom prst="rect">
          <a:avLst/>
        </a:prstGeom>
        <a:noFill/>
        <a:ln w="9525">
          <a:noFill/>
        </a:ln>
      </xdr:spPr>
    </xdr:pic>
  </etc:cellImage>
  <etc:cellImage>
    <xdr:pic>
      <xdr:nvPicPr>
        <xdr:cNvPr id="72" name="ID_9E29C34F5F0C4983BEA18F93222BD755"/>
        <xdr:cNvPicPr>
          <a:picLocks noChangeAspect="1"/>
        </xdr:cNvPicPr>
      </xdr:nvPicPr>
      <xdr:blipFill>
        <a:blip r:embed="rId4" r:link="rId2"/>
        <a:stretch>
          <a:fillRect/>
        </a:stretch>
      </xdr:blipFill>
      <xdr:spPr>
        <a:xfrm>
          <a:off x="13559155" y="1898650"/>
          <a:ext cx="457200" cy="217170"/>
        </a:xfrm>
        <a:prstGeom prst="rect">
          <a:avLst/>
        </a:prstGeom>
        <a:noFill/>
        <a:ln w="9525">
          <a:noFill/>
        </a:ln>
      </xdr:spPr>
    </xdr:pic>
  </etc:cellImage>
  <etc:cellImage>
    <xdr:pic>
      <xdr:nvPicPr>
        <xdr:cNvPr id="90" name="ID_42144FEB54594847A617F6CEF997C8DD"/>
        <xdr:cNvPicPr>
          <a:picLocks noChangeAspect="1"/>
        </xdr:cNvPicPr>
      </xdr:nvPicPr>
      <xdr:blipFill>
        <a:blip r:embed="rId5" r:link="rId2"/>
        <a:stretch>
          <a:fillRect/>
        </a:stretch>
      </xdr:blipFill>
      <xdr:spPr>
        <a:xfrm>
          <a:off x="13559155" y="8756650"/>
          <a:ext cx="271780" cy="217170"/>
        </a:xfrm>
        <a:prstGeom prst="rect">
          <a:avLst/>
        </a:prstGeom>
        <a:noFill/>
        <a:ln w="9525">
          <a:noFill/>
        </a:ln>
      </xdr:spPr>
    </xdr:pic>
  </etc:cellImage>
  <etc:cellImage>
    <xdr:pic>
      <xdr:nvPicPr>
        <xdr:cNvPr id="71" name="ID_A0ED9F92782A4B2083F7E7270BBF994B"/>
        <xdr:cNvPicPr/>
      </xdr:nvPicPr>
      <xdr:blipFill>
        <a:blip r:embed="rId6" r:link="rId2"/>
        <a:stretch>
          <a:fillRect/>
        </a:stretch>
      </xdr:blipFill>
      <xdr:spPr>
        <a:xfrm>
          <a:off x="13566775" y="1144270"/>
          <a:ext cx="687070" cy="354965"/>
        </a:xfrm>
        <a:prstGeom prst="rect">
          <a:avLst/>
        </a:prstGeom>
        <a:noFill/>
        <a:ln w="9525">
          <a:noFill/>
        </a:ln>
      </xdr:spPr>
    </xdr:pic>
  </etc:cellImage>
  <etc:cellImage>
    <xdr:pic>
      <xdr:nvPicPr>
        <xdr:cNvPr id="75" name="ID_87D21CDCA16E44118DE941A6434849DD"/>
        <xdr:cNvPicPr>
          <a:picLocks noChangeAspect="1"/>
        </xdr:cNvPicPr>
      </xdr:nvPicPr>
      <xdr:blipFill>
        <a:blip r:embed="rId7" r:link="rId2"/>
        <a:stretch>
          <a:fillRect/>
        </a:stretch>
      </xdr:blipFill>
      <xdr:spPr>
        <a:xfrm>
          <a:off x="13559155" y="3041650"/>
          <a:ext cx="354330" cy="217170"/>
        </a:xfrm>
        <a:prstGeom prst="rect">
          <a:avLst/>
        </a:prstGeom>
        <a:noFill/>
        <a:ln w="9525">
          <a:noFill/>
        </a:ln>
      </xdr:spPr>
    </xdr:pic>
  </etc:cellImage>
  <etc:cellImage>
    <xdr:pic>
      <xdr:nvPicPr>
        <xdr:cNvPr id="35" name="ID_1806B7082D8147BE84DFEB0CB134926D"/>
        <xdr:cNvPicPr>
          <a:picLocks noChangeAspect="1"/>
        </xdr:cNvPicPr>
      </xdr:nvPicPr>
      <xdr:blipFill>
        <a:blip r:embed="rId8"/>
        <a:stretch>
          <a:fillRect/>
        </a:stretch>
      </xdr:blipFill>
      <xdr:spPr>
        <a:xfrm>
          <a:off x="13559155" y="14090650"/>
          <a:ext cx="504825" cy="377190"/>
        </a:xfrm>
        <a:prstGeom prst="rect">
          <a:avLst/>
        </a:prstGeom>
        <a:noFill/>
        <a:ln>
          <a:noFill/>
        </a:ln>
      </xdr:spPr>
    </xdr:pic>
  </etc:cellImage>
  <etc:cellImage>
    <xdr:pic>
      <xdr:nvPicPr>
        <xdr:cNvPr id="74" name="ID_81E7EAB4B5BA4F6184E3D0BBA150608D"/>
        <xdr:cNvPicPr>
          <a:picLocks noChangeAspect="1"/>
        </xdr:cNvPicPr>
      </xdr:nvPicPr>
      <xdr:blipFill>
        <a:blip r:embed="rId9" r:link="rId2"/>
        <a:stretch>
          <a:fillRect/>
        </a:stretch>
      </xdr:blipFill>
      <xdr:spPr>
        <a:xfrm>
          <a:off x="13559155" y="2660650"/>
          <a:ext cx="528320" cy="217170"/>
        </a:xfrm>
        <a:prstGeom prst="rect">
          <a:avLst/>
        </a:prstGeom>
        <a:noFill/>
        <a:ln w="9525">
          <a:noFill/>
        </a:ln>
      </xdr:spPr>
    </xdr:pic>
  </etc:cellImage>
  <etc:cellImage>
    <xdr:pic>
      <xdr:nvPicPr>
        <xdr:cNvPr id="73" name="ID_0C839F862A664C029963589E7E4794FF"/>
        <xdr:cNvPicPr>
          <a:picLocks noChangeAspect="1"/>
        </xdr:cNvPicPr>
      </xdr:nvPicPr>
      <xdr:blipFill>
        <a:blip r:embed="rId10" r:link="rId2"/>
        <a:stretch>
          <a:fillRect/>
        </a:stretch>
      </xdr:blipFill>
      <xdr:spPr>
        <a:xfrm>
          <a:off x="13559155" y="2279650"/>
          <a:ext cx="506730" cy="217170"/>
        </a:xfrm>
        <a:prstGeom prst="rect">
          <a:avLst/>
        </a:prstGeom>
        <a:noFill/>
        <a:ln w="9525">
          <a:noFill/>
        </a:ln>
      </xdr:spPr>
    </xdr:pic>
  </etc:cellImage>
  <etc:cellImage>
    <xdr:pic>
      <xdr:nvPicPr>
        <xdr:cNvPr id="57" name="ID_AD5470C52AA14091948990355A69593B"/>
        <xdr:cNvPicPr>
          <a:picLocks noChangeAspect="1"/>
        </xdr:cNvPicPr>
      </xdr:nvPicPr>
      <xdr:blipFill>
        <a:blip r:embed="rId11"/>
        <a:stretch>
          <a:fillRect/>
        </a:stretch>
      </xdr:blipFill>
      <xdr:spPr>
        <a:xfrm rot="16200000">
          <a:off x="14006830" y="21236940"/>
          <a:ext cx="363855" cy="770255"/>
        </a:xfrm>
        <a:prstGeom prst="rect">
          <a:avLst/>
        </a:prstGeom>
        <a:noFill/>
        <a:ln>
          <a:noFill/>
        </a:ln>
      </xdr:spPr>
    </xdr:pic>
  </etc:cellImage>
  <etc:cellImage>
    <xdr:pic>
      <xdr:nvPicPr>
        <xdr:cNvPr id="43" name="ID_3D21938855124DF68B188B390CAAF63A"/>
        <xdr:cNvPicPr>
          <a:picLocks noChangeAspect="1"/>
        </xdr:cNvPicPr>
      </xdr:nvPicPr>
      <xdr:blipFill>
        <a:blip r:embed="rId12"/>
        <a:stretch>
          <a:fillRect/>
        </a:stretch>
      </xdr:blipFill>
      <xdr:spPr>
        <a:xfrm>
          <a:off x="13559155" y="16376650"/>
          <a:ext cx="645160" cy="529590"/>
        </a:xfrm>
        <a:prstGeom prst="rect">
          <a:avLst/>
        </a:prstGeom>
        <a:noFill/>
        <a:ln>
          <a:noFill/>
        </a:ln>
      </xdr:spPr>
    </xdr:pic>
  </etc:cellImage>
  <etc:cellImage>
    <xdr:pic>
      <xdr:nvPicPr>
        <xdr:cNvPr id="102" name="ID_F3BED46223DC482097C96DA3EEC66E4A"/>
        <xdr:cNvPicPr>
          <a:picLocks noChangeAspect="1"/>
        </xdr:cNvPicPr>
      </xdr:nvPicPr>
      <xdr:blipFill>
        <a:blip r:embed="rId13" r:link="rId2"/>
        <a:stretch>
          <a:fillRect/>
        </a:stretch>
      </xdr:blipFill>
      <xdr:spPr>
        <a:xfrm>
          <a:off x="13559155" y="1517650"/>
          <a:ext cx="354330" cy="217170"/>
        </a:xfrm>
        <a:prstGeom prst="rect">
          <a:avLst/>
        </a:prstGeom>
        <a:noFill/>
        <a:ln w="9525">
          <a:noFill/>
        </a:ln>
      </xdr:spPr>
    </xdr:pic>
  </etc:cellImage>
  <etc:cellImage>
    <xdr:pic>
      <xdr:nvPicPr>
        <xdr:cNvPr id="101" name="ID_951F67A02B174399BD38EFD4516794BC"/>
        <xdr:cNvPicPr>
          <a:picLocks noChangeAspect="1"/>
        </xdr:cNvPicPr>
      </xdr:nvPicPr>
      <xdr:blipFill>
        <a:blip r:embed="rId14" r:link="rId2"/>
        <a:stretch>
          <a:fillRect/>
        </a:stretch>
      </xdr:blipFill>
      <xdr:spPr>
        <a:xfrm>
          <a:off x="13559155" y="9518650"/>
          <a:ext cx="963930" cy="495300"/>
        </a:xfrm>
        <a:prstGeom prst="rect">
          <a:avLst/>
        </a:prstGeom>
        <a:noFill/>
        <a:ln w="9525">
          <a:noFill/>
        </a:ln>
      </xdr:spPr>
    </xdr:pic>
  </etc:cellImage>
  <etc:cellImage>
    <xdr:pic>
      <xdr:nvPicPr>
        <xdr:cNvPr id="76" name="ID_1735D640A5DA49EE8F64060DB78884E5"/>
        <xdr:cNvPicPr>
          <a:picLocks noChangeAspect="1"/>
        </xdr:cNvPicPr>
      </xdr:nvPicPr>
      <xdr:blipFill>
        <a:blip r:embed="rId15" r:link="rId2"/>
        <a:stretch>
          <a:fillRect/>
        </a:stretch>
      </xdr:blipFill>
      <xdr:spPr>
        <a:xfrm>
          <a:off x="13838555" y="3524885"/>
          <a:ext cx="337820" cy="217170"/>
        </a:xfrm>
        <a:prstGeom prst="rect">
          <a:avLst/>
        </a:prstGeom>
        <a:noFill/>
        <a:ln w="9525">
          <a:noFill/>
        </a:ln>
      </xdr:spPr>
    </xdr:pic>
  </etc:cellImage>
  <etc:cellImage>
    <xdr:pic>
      <xdr:nvPicPr>
        <xdr:cNvPr id="77" name="ID_5372E853EC7A45ECB1232CC24068C45D"/>
        <xdr:cNvPicPr>
          <a:picLocks noChangeAspect="1"/>
        </xdr:cNvPicPr>
      </xdr:nvPicPr>
      <xdr:blipFill>
        <a:blip r:embed="rId16" r:link="rId2"/>
        <a:stretch>
          <a:fillRect/>
        </a:stretch>
      </xdr:blipFill>
      <xdr:spPr>
        <a:xfrm>
          <a:off x="13559155" y="3803650"/>
          <a:ext cx="669290" cy="217170"/>
        </a:xfrm>
        <a:prstGeom prst="rect">
          <a:avLst/>
        </a:prstGeom>
        <a:noFill/>
        <a:ln w="9525">
          <a:noFill/>
        </a:ln>
      </xdr:spPr>
    </xdr:pic>
  </etc:cellImage>
  <etc:cellImage>
    <xdr:pic>
      <xdr:nvPicPr>
        <xdr:cNvPr id="42" name="ID_EAC40774C7724601807912C3943B060B"/>
        <xdr:cNvPicPr>
          <a:picLocks noChangeAspect="1"/>
        </xdr:cNvPicPr>
      </xdr:nvPicPr>
      <xdr:blipFill>
        <a:blip r:embed="rId17"/>
        <a:stretch>
          <a:fillRect/>
        </a:stretch>
      </xdr:blipFill>
      <xdr:spPr>
        <a:xfrm>
          <a:off x="13793470" y="15999460"/>
          <a:ext cx="770890" cy="407035"/>
        </a:xfrm>
        <a:prstGeom prst="rect">
          <a:avLst/>
        </a:prstGeom>
        <a:noFill/>
        <a:ln>
          <a:noFill/>
        </a:ln>
      </xdr:spPr>
    </xdr:pic>
  </etc:cellImage>
  <etc:cellImage>
    <xdr:pic>
      <xdr:nvPicPr>
        <xdr:cNvPr id="59" name="ID_6EAE095C84C444328C98807FBA53734F"/>
        <xdr:cNvPicPr>
          <a:picLocks noChangeAspect="1"/>
        </xdr:cNvPicPr>
      </xdr:nvPicPr>
      <xdr:blipFill>
        <a:blip r:embed="rId18"/>
        <a:stretch>
          <a:fillRect/>
        </a:stretch>
      </xdr:blipFill>
      <xdr:spPr>
        <a:xfrm>
          <a:off x="13559155" y="22091650"/>
          <a:ext cx="1149350" cy="383540"/>
        </a:xfrm>
        <a:prstGeom prst="rect">
          <a:avLst/>
        </a:prstGeom>
        <a:noFill/>
        <a:ln>
          <a:noFill/>
        </a:ln>
      </xdr:spPr>
    </xdr:pic>
  </etc:cellImage>
  <etc:cellImage>
    <xdr:pic>
      <xdr:nvPicPr>
        <xdr:cNvPr id="96" name="ID_8EF37FF9D508494CA9352F36F92A123C"/>
        <xdr:cNvPicPr>
          <a:picLocks noChangeAspect="1"/>
        </xdr:cNvPicPr>
      </xdr:nvPicPr>
      <xdr:blipFill>
        <a:blip r:embed="rId19" r:link="rId2"/>
        <a:stretch>
          <a:fillRect/>
        </a:stretch>
      </xdr:blipFill>
      <xdr:spPr>
        <a:xfrm>
          <a:off x="13661390" y="11892280"/>
          <a:ext cx="414020" cy="217170"/>
        </a:xfrm>
        <a:prstGeom prst="rect">
          <a:avLst/>
        </a:prstGeom>
        <a:noFill/>
        <a:ln w="9525">
          <a:noFill/>
        </a:ln>
      </xdr:spPr>
    </xdr:pic>
  </etc:cellImage>
  <etc:cellImage>
    <xdr:pic>
      <xdr:nvPicPr>
        <xdr:cNvPr id="100" name="ID_FDBA2CA1BF05400796482783B541BCE4"/>
        <xdr:cNvPicPr>
          <a:picLocks noChangeAspect="1"/>
        </xdr:cNvPicPr>
      </xdr:nvPicPr>
      <xdr:blipFill>
        <a:blip r:embed="rId20" r:link="rId2"/>
        <a:stretch>
          <a:fillRect/>
        </a:stretch>
      </xdr:blipFill>
      <xdr:spPr>
        <a:xfrm>
          <a:off x="14010640" y="13359765"/>
          <a:ext cx="397510" cy="217170"/>
        </a:xfrm>
        <a:prstGeom prst="rect">
          <a:avLst/>
        </a:prstGeom>
        <a:noFill/>
        <a:ln w="9525">
          <a:noFill/>
        </a:ln>
      </xdr:spPr>
    </xdr:pic>
  </etc:cellImage>
  <etc:cellImage>
    <xdr:pic>
      <xdr:nvPicPr>
        <xdr:cNvPr id="78" name="ID_F9B1C80F5F334639B3AE9CD29B656ABC"/>
        <xdr:cNvPicPr>
          <a:picLocks noChangeAspect="1"/>
        </xdr:cNvPicPr>
      </xdr:nvPicPr>
      <xdr:blipFill>
        <a:blip r:embed="rId21" r:link="rId2"/>
        <a:stretch>
          <a:fillRect/>
        </a:stretch>
      </xdr:blipFill>
      <xdr:spPr>
        <a:xfrm>
          <a:off x="13559155" y="4184650"/>
          <a:ext cx="402590" cy="217170"/>
        </a:xfrm>
        <a:prstGeom prst="rect">
          <a:avLst/>
        </a:prstGeom>
        <a:noFill/>
        <a:ln w="9525">
          <a:noFill/>
        </a:ln>
      </xdr:spPr>
    </xdr:pic>
  </etc:cellImage>
  <etc:cellImage>
    <xdr:pic>
      <xdr:nvPicPr>
        <xdr:cNvPr id="79" name="ID_A3F66522628A404E81F03787679B656F"/>
        <xdr:cNvPicPr>
          <a:picLocks noChangeAspect="1"/>
        </xdr:cNvPicPr>
      </xdr:nvPicPr>
      <xdr:blipFill>
        <a:blip r:embed="rId22" r:link="rId2"/>
        <a:stretch>
          <a:fillRect/>
        </a:stretch>
      </xdr:blipFill>
      <xdr:spPr>
        <a:xfrm>
          <a:off x="13559155" y="4946650"/>
          <a:ext cx="424180" cy="217170"/>
        </a:xfrm>
        <a:prstGeom prst="rect">
          <a:avLst/>
        </a:prstGeom>
        <a:noFill/>
        <a:ln w="9525">
          <a:noFill/>
        </a:ln>
      </xdr:spPr>
    </xdr:pic>
  </etc:cellImage>
  <etc:cellImage>
    <xdr:pic>
      <xdr:nvPicPr>
        <xdr:cNvPr id="53" name="ID_6A4155D005934C27862207BA783DD1F8"/>
        <xdr:cNvPicPr>
          <a:picLocks noChangeAspect="1"/>
        </xdr:cNvPicPr>
      </xdr:nvPicPr>
      <xdr:blipFill>
        <a:blip r:embed="rId23"/>
        <a:stretch>
          <a:fillRect/>
        </a:stretch>
      </xdr:blipFill>
      <xdr:spPr>
        <a:xfrm>
          <a:off x="13559155" y="20186650"/>
          <a:ext cx="636905" cy="422275"/>
        </a:xfrm>
        <a:prstGeom prst="rect">
          <a:avLst/>
        </a:prstGeom>
        <a:noFill/>
        <a:ln>
          <a:noFill/>
        </a:ln>
      </xdr:spPr>
    </xdr:pic>
  </etc:cellImage>
  <etc:cellImage>
    <xdr:pic>
      <xdr:nvPicPr>
        <xdr:cNvPr id="80" name="ID_1605796E3E1A48B38CC389A4767902B1"/>
        <xdr:cNvPicPr>
          <a:picLocks noChangeAspect="1"/>
        </xdr:cNvPicPr>
      </xdr:nvPicPr>
      <xdr:blipFill>
        <a:blip r:embed="rId24" r:link="rId2"/>
        <a:stretch>
          <a:fillRect/>
        </a:stretch>
      </xdr:blipFill>
      <xdr:spPr>
        <a:xfrm>
          <a:off x="13913485" y="5400675"/>
          <a:ext cx="321310" cy="217170"/>
        </a:xfrm>
        <a:prstGeom prst="rect">
          <a:avLst/>
        </a:prstGeom>
        <a:noFill/>
        <a:ln w="9525">
          <a:noFill/>
        </a:ln>
      </xdr:spPr>
    </xdr:pic>
  </etc:cellImage>
  <etc:cellImage>
    <xdr:pic>
      <xdr:nvPicPr>
        <xdr:cNvPr id="93" name="ID_AB5F1EF44D434A53AF212CD00EDFCA9B"/>
        <xdr:cNvPicPr>
          <a:picLocks noChangeAspect="1"/>
        </xdr:cNvPicPr>
      </xdr:nvPicPr>
      <xdr:blipFill>
        <a:blip r:embed="rId25" r:link="rId2"/>
        <a:stretch>
          <a:fillRect/>
        </a:stretch>
      </xdr:blipFill>
      <xdr:spPr>
        <a:xfrm>
          <a:off x="13559155" y="10661650"/>
          <a:ext cx="266700" cy="217170"/>
        </a:xfrm>
        <a:prstGeom prst="rect">
          <a:avLst/>
        </a:prstGeom>
        <a:noFill/>
        <a:ln w="9525">
          <a:noFill/>
        </a:ln>
      </xdr:spPr>
    </xdr:pic>
  </etc:cellImage>
  <etc:cellImage>
    <xdr:pic>
      <xdr:nvPicPr>
        <xdr:cNvPr id="81" name="ID_97ACCF2C812546D78854E9CC80109562"/>
        <xdr:cNvPicPr>
          <a:picLocks noChangeAspect="1"/>
        </xdr:cNvPicPr>
      </xdr:nvPicPr>
      <xdr:blipFill>
        <a:blip r:embed="rId26" r:link="rId2"/>
        <a:stretch>
          <a:fillRect/>
        </a:stretch>
      </xdr:blipFill>
      <xdr:spPr>
        <a:xfrm>
          <a:off x="13559155" y="5708650"/>
          <a:ext cx="674370" cy="201930"/>
        </a:xfrm>
        <a:prstGeom prst="rect">
          <a:avLst/>
        </a:prstGeom>
        <a:noFill/>
        <a:ln w="9525">
          <a:noFill/>
        </a:ln>
      </xdr:spPr>
    </xdr:pic>
  </etc:cellImage>
  <etc:cellImage>
    <xdr:pic>
      <xdr:nvPicPr>
        <xdr:cNvPr id="98" name="ID_C63C45AC8545441FA9AA27465EE8F066"/>
        <xdr:cNvPicPr>
          <a:picLocks noChangeAspect="1"/>
        </xdr:cNvPicPr>
      </xdr:nvPicPr>
      <xdr:blipFill>
        <a:blip r:embed="rId27" r:link="rId2"/>
        <a:stretch>
          <a:fillRect/>
        </a:stretch>
      </xdr:blipFill>
      <xdr:spPr>
        <a:xfrm>
          <a:off x="13710285" y="12710795"/>
          <a:ext cx="342900" cy="217170"/>
        </a:xfrm>
        <a:prstGeom prst="rect">
          <a:avLst/>
        </a:prstGeom>
        <a:noFill/>
        <a:ln w="9525">
          <a:noFill/>
        </a:ln>
      </xdr:spPr>
    </xdr:pic>
  </etc:cellImage>
  <etc:cellImage>
    <xdr:pic>
      <xdr:nvPicPr>
        <xdr:cNvPr id="82" name="ID_D6D1C95FA72545CDB236760FA3BB4993"/>
        <xdr:cNvPicPr/>
      </xdr:nvPicPr>
      <xdr:blipFill>
        <a:blip r:embed="rId28" r:link="rId2"/>
        <a:stretch>
          <a:fillRect/>
        </a:stretch>
      </xdr:blipFill>
      <xdr:spPr>
        <a:xfrm>
          <a:off x="13562965" y="6099175"/>
          <a:ext cx="951865" cy="508635"/>
        </a:xfrm>
        <a:prstGeom prst="rect">
          <a:avLst/>
        </a:prstGeom>
        <a:noFill/>
        <a:ln w="9525">
          <a:noFill/>
        </a:ln>
      </xdr:spPr>
    </xdr:pic>
  </etc:cellImage>
  <etc:cellImage>
    <xdr:pic>
      <xdr:nvPicPr>
        <xdr:cNvPr id="84" name="ID_CB9124AFDCD8499AA7C8DA3C0B4E92EC"/>
        <xdr:cNvPicPr/>
      </xdr:nvPicPr>
      <xdr:blipFill>
        <a:blip r:embed="rId29" r:link="rId2"/>
        <a:stretch>
          <a:fillRect/>
        </a:stretch>
      </xdr:blipFill>
      <xdr:spPr>
        <a:xfrm>
          <a:off x="13719175" y="6546850"/>
          <a:ext cx="886460" cy="457835"/>
        </a:xfrm>
        <a:prstGeom prst="rect">
          <a:avLst/>
        </a:prstGeom>
        <a:noFill/>
        <a:ln w="9525">
          <a:noFill/>
        </a:ln>
      </xdr:spPr>
    </xdr:pic>
  </etc:cellImage>
  <etc:cellImage>
    <xdr:pic>
      <xdr:nvPicPr>
        <xdr:cNvPr id="55" name="ID_359250A318A549C3A1A77287121972DB"/>
        <xdr:cNvPicPr>
          <a:picLocks noChangeAspect="1"/>
        </xdr:cNvPicPr>
      </xdr:nvPicPr>
      <xdr:blipFill>
        <a:blip r:embed="rId30"/>
        <a:stretch>
          <a:fillRect/>
        </a:stretch>
      </xdr:blipFill>
      <xdr:spPr>
        <a:xfrm>
          <a:off x="13559155" y="20948650"/>
          <a:ext cx="535940" cy="363220"/>
        </a:xfrm>
        <a:prstGeom prst="rect">
          <a:avLst/>
        </a:prstGeom>
        <a:noFill/>
        <a:ln>
          <a:noFill/>
        </a:ln>
      </xdr:spPr>
    </xdr:pic>
  </etc:cellImage>
  <etc:cellImage>
    <xdr:pic>
      <xdr:nvPicPr>
        <xdr:cNvPr id="85" name="ID_FD4B1C87DA8E42BDA81BD5E38279DBE6"/>
        <xdr:cNvPicPr>
          <a:picLocks noChangeAspect="1"/>
        </xdr:cNvPicPr>
      </xdr:nvPicPr>
      <xdr:blipFill>
        <a:blip r:embed="rId31" r:link="rId2"/>
        <a:stretch>
          <a:fillRect/>
        </a:stretch>
      </xdr:blipFill>
      <xdr:spPr>
        <a:xfrm>
          <a:off x="13559155" y="6851650"/>
          <a:ext cx="419100" cy="217170"/>
        </a:xfrm>
        <a:prstGeom prst="rect">
          <a:avLst/>
        </a:prstGeom>
        <a:noFill/>
        <a:ln w="9525">
          <a:noFill/>
        </a:ln>
      </xdr:spPr>
    </xdr:pic>
  </etc:cellImage>
  <etc:cellImage>
    <xdr:pic>
      <xdr:nvPicPr>
        <xdr:cNvPr id="39" name="ID_2135E4B25E50455AB1C5B7E260938F8E"/>
        <xdr:cNvPicPr>
          <a:picLocks noChangeAspect="1"/>
        </xdr:cNvPicPr>
      </xdr:nvPicPr>
      <xdr:blipFill>
        <a:blip r:embed="rId32"/>
        <a:stretch>
          <a:fillRect/>
        </a:stretch>
      </xdr:blipFill>
      <xdr:spPr>
        <a:xfrm>
          <a:off x="13725525" y="15250795"/>
          <a:ext cx="660400" cy="330200"/>
        </a:xfrm>
        <a:prstGeom prst="rect">
          <a:avLst/>
        </a:prstGeom>
        <a:noFill/>
        <a:ln>
          <a:noFill/>
        </a:ln>
      </xdr:spPr>
    </xdr:pic>
  </etc:cellImage>
  <etc:cellImage>
    <xdr:pic>
      <xdr:nvPicPr>
        <xdr:cNvPr id="86" name="ID_BAEB1F49AB0D4522A452FE114611C02A"/>
        <xdr:cNvPicPr>
          <a:picLocks noChangeAspect="1"/>
        </xdr:cNvPicPr>
      </xdr:nvPicPr>
      <xdr:blipFill>
        <a:blip r:embed="rId33" r:link="rId2"/>
        <a:stretch>
          <a:fillRect/>
        </a:stretch>
      </xdr:blipFill>
      <xdr:spPr>
        <a:xfrm>
          <a:off x="13559155" y="7232650"/>
          <a:ext cx="321310" cy="217170"/>
        </a:xfrm>
        <a:prstGeom prst="rect">
          <a:avLst/>
        </a:prstGeom>
        <a:noFill/>
        <a:ln w="9525">
          <a:noFill/>
        </a:ln>
      </xdr:spPr>
    </xdr:pic>
  </etc:cellImage>
  <etc:cellImage>
    <xdr:pic>
      <xdr:nvPicPr>
        <xdr:cNvPr id="64" name="ID_E92652EE3D6E459DAA6A9B6B1CF7F60E"/>
        <xdr:cNvPicPr>
          <a:picLocks noChangeAspect="1"/>
        </xdr:cNvPicPr>
      </xdr:nvPicPr>
      <xdr:blipFill>
        <a:blip r:embed="rId34"/>
        <a:stretch>
          <a:fillRect/>
        </a:stretch>
      </xdr:blipFill>
      <xdr:spPr>
        <a:xfrm>
          <a:off x="13559155" y="23615650"/>
          <a:ext cx="579120" cy="198120"/>
        </a:xfrm>
        <a:prstGeom prst="rect">
          <a:avLst/>
        </a:prstGeom>
        <a:noFill/>
        <a:ln>
          <a:noFill/>
        </a:ln>
      </xdr:spPr>
    </xdr:pic>
  </etc:cellImage>
  <etc:cellImage>
    <xdr:pic>
      <xdr:nvPicPr>
        <xdr:cNvPr id="87" name="ID_2C4D2DA37134483AA3780C4F791F8EB2"/>
        <xdr:cNvPicPr>
          <a:picLocks noChangeAspect="1"/>
        </xdr:cNvPicPr>
      </xdr:nvPicPr>
      <xdr:blipFill>
        <a:blip r:embed="rId35" r:link="rId2"/>
        <a:stretch>
          <a:fillRect/>
        </a:stretch>
      </xdr:blipFill>
      <xdr:spPr>
        <a:xfrm>
          <a:off x="13796645" y="7724775"/>
          <a:ext cx="278130" cy="217170"/>
        </a:xfrm>
        <a:prstGeom prst="rect">
          <a:avLst/>
        </a:prstGeom>
        <a:noFill/>
        <a:ln w="9525">
          <a:noFill/>
        </a:ln>
      </xdr:spPr>
    </xdr:pic>
  </etc:cellImage>
  <etc:cellImage>
    <xdr:pic>
      <xdr:nvPicPr>
        <xdr:cNvPr id="45" name="ID_B3CF7EE694D94C5795B2197525027461"/>
        <xdr:cNvPicPr>
          <a:picLocks noChangeAspect="1"/>
        </xdr:cNvPicPr>
      </xdr:nvPicPr>
      <xdr:blipFill>
        <a:blip r:embed="rId36"/>
        <a:stretch>
          <a:fillRect/>
        </a:stretch>
      </xdr:blipFill>
      <xdr:spPr>
        <a:xfrm>
          <a:off x="13559155" y="17138650"/>
          <a:ext cx="848360" cy="443230"/>
        </a:xfrm>
        <a:prstGeom prst="rect">
          <a:avLst/>
        </a:prstGeom>
        <a:noFill/>
        <a:ln>
          <a:noFill/>
        </a:ln>
      </xdr:spPr>
    </xdr:pic>
  </etc:cellImage>
  <etc:cellImage>
    <xdr:pic>
      <xdr:nvPicPr>
        <xdr:cNvPr id="51" name="ID_7A88F9127E994F36B9D9AA2E5515B09D"/>
        <xdr:cNvPicPr>
          <a:picLocks noChangeAspect="1"/>
        </xdr:cNvPicPr>
      </xdr:nvPicPr>
      <xdr:blipFill>
        <a:blip r:embed="rId37"/>
        <a:stretch>
          <a:fillRect/>
        </a:stretch>
      </xdr:blipFill>
      <xdr:spPr>
        <a:xfrm>
          <a:off x="13559155" y="19424650"/>
          <a:ext cx="555625" cy="365760"/>
        </a:xfrm>
        <a:prstGeom prst="rect">
          <a:avLst/>
        </a:prstGeom>
        <a:noFill/>
        <a:ln>
          <a:noFill/>
        </a:ln>
      </xdr:spPr>
    </xdr:pic>
  </etc:cellImage>
  <etc:cellImage>
    <xdr:pic>
      <xdr:nvPicPr>
        <xdr:cNvPr id="88" name="ID_D84BBA745712481AA8F0E26A934F5C81"/>
        <xdr:cNvPicPr>
          <a:picLocks noChangeAspect="1"/>
        </xdr:cNvPicPr>
      </xdr:nvPicPr>
      <xdr:blipFill>
        <a:blip r:embed="rId38" r:link="rId2"/>
        <a:stretch>
          <a:fillRect/>
        </a:stretch>
      </xdr:blipFill>
      <xdr:spPr>
        <a:xfrm>
          <a:off x="13559155" y="7994650"/>
          <a:ext cx="495300" cy="217170"/>
        </a:xfrm>
        <a:prstGeom prst="rect">
          <a:avLst/>
        </a:prstGeom>
        <a:noFill/>
        <a:ln w="9525">
          <a:noFill/>
        </a:ln>
      </xdr:spPr>
    </xdr:pic>
  </etc:cellImage>
  <etc:cellImage>
    <xdr:pic>
      <xdr:nvPicPr>
        <xdr:cNvPr id="89" name="ID_08B050D2775D49F4A8F3C98C29DD1DDA"/>
        <xdr:cNvPicPr>
          <a:picLocks noChangeAspect="1"/>
        </xdr:cNvPicPr>
      </xdr:nvPicPr>
      <xdr:blipFill>
        <a:blip r:embed="rId39" r:link="rId2"/>
        <a:stretch>
          <a:fillRect/>
        </a:stretch>
      </xdr:blipFill>
      <xdr:spPr>
        <a:xfrm>
          <a:off x="13559155" y="8375650"/>
          <a:ext cx="386080" cy="217170"/>
        </a:xfrm>
        <a:prstGeom prst="rect">
          <a:avLst/>
        </a:prstGeom>
        <a:noFill/>
        <a:ln w="9525">
          <a:noFill/>
        </a:ln>
      </xdr:spPr>
    </xdr:pic>
  </etc:cellImage>
  <etc:cellImage>
    <xdr:pic>
      <xdr:nvPicPr>
        <xdr:cNvPr id="47" name="ID_C860772B2C5A4F9291A3896ABFB35EDF"/>
        <xdr:cNvPicPr>
          <a:picLocks noChangeAspect="1"/>
        </xdr:cNvPicPr>
      </xdr:nvPicPr>
      <xdr:blipFill>
        <a:blip r:embed="rId40"/>
        <a:stretch>
          <a:fillRect/>
        </a:stretch>
      </xdr:blipFill>
      <xdr:spPr>
        <a:xfrm>
          <a:off x="13559155" y="17900650"/>
          <a:ext cx="755015" cy="345440"/>
        </a:xfrm>
        <a:prstGeom prst="rect">
          <a:avLst/>
        </a:prstGeom>
        <a:noFill/>
        <a:ln>
          <a:noFill/>
        </a:ln>
      </xdr:spPr>
    </xdr:pic>
  </etc:cellImage>
  <etc:cellImage>
    <xdr:pic>
      <xdr:nvPicPr>
        <xdr:cNvPr id="103" name="ID_769524B6DABE4FE3A0282D1FD4132F44" descr="3d5d8c608d7b7f669ec1a76b2679505"/>
        <xdr:cNvPicPr/>
      </xdr:nvPicPr>
      <xdr:blipFill>
        <a:blip r:embed="rId41"/>
        <a:stretch>
          <a:fillRect/>
        </a:stretch>
      </xdr:blipFill>
      <xdr:spPr>
        <a:xfrm>
          <a:off x="0" y="0"/>
          <a:ext cx="5110480" cy="2851785"/>
        </a:xfrm>
        <a:prstGeom prst="rect">
          <a:avLst/>
        </a:prstGeom>
      </xdr:spPr>
    </xdr:pic>
  </etc:cellImage>
  <etc:cellImage>
    <xdr:pic>
      <xdr:nvPicPr>
        <xdr:cNvPr id="34" name="ID_7F19F2AAF1BE4D6F90B042FF901E566C"/>
        <xdr:cNvPicPr>
          <a:picLocks noChangeAspect="1"/>
        </xdr:cNvPicPr>
      </xdr:nvPicPr>
      <xdr:blipFill>
        <a:blip r:embed="rId42"/>
        <a:stretch>
          <a:fillRect/>
        </a:stretch>
      </xdr:blipFill>
      <xdr:spPr>
        <a:xfrm>
          <a:off x="13559155" y="13709650"/>
          <a:ext cx="374650" cy="368300"/>
        </a:xfrm>
        <a:prstGeom prst="rect">
          <a:avLst/>
        </a:prstGeom>
        <a:noFill/>
        <a:ln>
          <a:noFill/>
        </a:ln>
      </xdr:spPr>
    </xdr:pic>
  </etc:cellImage>
  <etc:cellImage>
    <xdr:pic>
      <xdr:nvPicPr>
        <xdr:cNvPr id="92" name="ID_B6E45280C125487B8175108FCF9CCE47"/>
        <xdr:cNvPicPr>
          <a:picLocks noChangeAspect="1"/>
        </xdr:cNvPicPr>
      </xdr:nvPicPr>
      <xdr:blipFill>
        <a:blip r:embed="rId43" r:link="rId2"/>
        <a:stretch>
          <a:fillRect/>
        </a:stretch>
      </xdr:blipFill>
      <xdr:spPr>
        <a:xfrm>
          <a:off x="13559155" y="10280650"/>
          <a:ext cx="549910" cy="217170"/>
        </a:xfrm>
        <a:prstGeom prst="rect">
          <a:avLst/>
        </a:prstGeom>
        <a:noFill/>
        <a:ln w="9525">
          <a:noFill/>
        </a:ln>
      </xdr:spPr>
    </xdr:pic>
  </etc:cellImage>
  <etc:cellImage>
    <xdr:pic>
      <xdr:nvPicPr>
        <xdr:cNvPr id="63" name="ID_24E86B72711F443F8A702455CDBC2348"/>
        <xdr:cNvPicPr>
          <a:picLocks noChangeAspect="1"/>
        </xdr:cNvPicPr>
      </xdr:nvPicPr>
      <xdr:blipFill>
        <a:blip r:embed="rId44"/>
        <a:stretch>
          <a:fillRect/>
        </a:stretch>
      </xdr:blipFill>
      <xdr:spPr>
        <a:xfrm rot="16200000">
          <a:off x="14050645" y="23158450"/>
          <a:ext cx="462915" cy="824865"/>
        </a:xfrm>
        <a:prstGeom prst="rect">
          <a:avLst/>
        </a:prstGeom>
        <a:noFill/>
        <a:ln>
          <a:noFill/>
        </a:ln>
      </xdr:spPr>
    </xdr:pic>
  </etc:cellImage>
  <etc:cellImage>
    <xdr:pic>
      <xdr:nvPicPr>
        <xdr:cNvPr id="38" name="ID_6235E1B08C9B41CCBE6C040F1FF5CD05"/>
        <xdr:cNvPicPr>
          <a:picLocks noChangeAspect="1"/>
        </xdr:cNvPicPr>
      </xdr:nvPicPr>
      <xdr:blipFill>
        <a:blip r:embed="rId45"/>
        <a:stretch>
          <a:fillRect/>
        </a:stretch>
      </xdr:blipFill>
      <xdr:spPr>
        <a:xfrm>
          <a:off x="13634720" y="14974570"/>
          <a:ext cx="607060" cy="268605"/>
        </a:xfrm>
        <a:prstGeom prst="rect">
          <a:avLst/>
        </a:prstGeom>
        <a:noFill/>
        <a:ln>
          <a:noFill/>
        </a:ln>
      </xdr:spPr>
    </xdr:pic>
  </etc:cellImage>
  <etc:cellImage>
    <xdr:pic>
      <xdr:nvPicPr>
        <xdr:cNvPr id="94" name="ID_0CFE9FC8DA1E4AB8A6762270EF8A4E82"/>
        <xdr:cNvPicPr>
          <a:picLocks noChangeAspect="1"/>
        </xdr:cNvPicPr>
      </xdr:nvPicPr>
      <xdr:blipFill>
        <a:blip r:embed="rId46" r:link="rId2"/>
        <a:stretch>
          <a:fillRect/>
        </a:stretch>
      </xdr:blipFill>
      <xdr:spPr>
        <a:xfrm>
          <a:off x="13639165" y="11122660"/>
          <a:ext cx="397510" cy="217170"/>
        </a:xfrm>
        <a:prstGeom prst="rect">
          <a:avLst/>
        </a:prstGeom>
        <a:noFill/>
        <a:ln w="9525">
          <a:noFill/>
        </a:ln>
      </xdr:spPr>
    </xdr:pic>
  </etc:cellImage>
  <etc:cellImage>
    <xdr:pic>
      <xdr:nvPicPr>
        <xdr:cNvPr id="95" name="ID_4E2DC036D9044AFCBCB953D14A90AA37"/>
        <xdr:cNvPicPr>
          <a:picLocks noChangeAspect="1"/>
        </xdr:cNvPicPr>
      </xdr:nvPicPr>
      <xdr:blipFill>
        <a:blip r:embed="rId47" r:link="rId2"/>
        <a:stretch>
          <a:fillRect/>
        </a:stretch>
      </xdr:blipFill>
      <xdr:spPr>
        <a:xfrm>
          <a:off x="13559155" y="11423650"/>
          <a:ext cx="490220" cy="217170"/>
        </a:xfrm>
        <a:prstGeom prst="rect">
          <a:avLst/>
        </a:prstGeom>
        <a:noFill/>
        <a:ln w="9525">
          <a:noFill/>
        </a:ln>
      </xdr:spPr>
    </xdr:pic>
  </etc:cellImage>
  <etc:cellImage>
    <xdr:pic>
      <xdr:nvPicPr>
        <xdr:cNvPr id="54" name="ID_DF018BD97BD1475887204332FB53106D"/>
        <xdr:cNvPicPr>
          <a:picLocks noChangeAspect="1"/>
        </xdr:cNvPicPr>
      </xdr:nvPicPr>
      <xdr:blipFill>
        <a:blip r:embed="rId48"/>
        <a:stretch>
          <a:fillRect/>
        </a:stretch>
      </xdr:blipFill>
      <xdr:spPr>
        <a:xfrm>
          <a:off x="13559155" y="20567650"/>
          <a:ext cx="748665" cy="464820"/>
        </a:xfrm>
        <a:prstGeom prst="rect">
          <a:avLst/>
        </a:prstGeom>
        <a:noFill/>
        <a:ln>
          <a:noFill/>
        </a:ln>
      </xdr:spPr>
    </xdr:pic>
  </etc:cellImage>
  <etc:cellImage>
    <xdr:pic>
      <xdr:nvPicPr>
        <xdr:cNvPr id="97" name="ID_5DC7A3FC9B64436E96D912B12BD95C99"/>
        <xdr:cNvPicPr>
          <a:picLocks noChangeAspect="1"/>
        </xdr:cNvPicPr>
      </xdr:nvPicPr>
      <xdr:blipFill>
        <a:blip r:embed="rId49" r:link="rId2"/>
        <a:stretch>
          <a:fillRect/>
        </a:stretch>
      </xdr:blipFill>
      <xdr:spPr>
        <a:xfrm>
          <a:off x="13863955" y="12261850"/>
          <a:ext cx="321310" cy="217170"/>
        </a:xfrm>
        <a:prstGeom prst="rect">
          <a:avLst/>
        </a:prstGeom>
        <a:noFill/>
        <a:ln w="9525">
          <a:noFill/>
        </a:ln>
      </xdr:spPr>
    </xdr:pic>
  </etc:cellImage>
  <etc:cellImage>
    <xdr:pic>
      <xdr:nvPicPr>
        <xdr:cNvPr id="99" name="ID_215FB429F97C468D85633AA4B3028691"/>
        <xdr:cNvPicPr>
          <a:picLocks noChangeAspect="1"/>
        </xdr:cNvPicPr>
      </xdr:nvPicPr>
      <xdr:blipFill>
        <a:blip r:embed="rId50" r:link="rId2"/>
        <a:stretch>
          <a:fillRect/>
        </a:stretch>
      </xdr:blipFill>
      <xdr:spPr>
        <a:xfrm>
          <a:off x="13559155" y="12947650"/>
          <a:ext cx="195580" cy="217170"/>
        </a:xfrm>
        <a:prstGeom prst="rect">
          <a:avLst/>
        </a:prstGeom>
        <a:noFill/>
        <a:ln w="9525">
          <a:noFill/>
        </a:ln>
      </xdr:spPr>
    </xdr:pic>
  </etc:cellImage>
  <etc:cellImage>
    <xdr:pic>
      <xdr:nvPicPr>
        <xdr:cNvPr id="37" name="ID_3D585C203D2E42619105D844EDBA6E41"/>
        <xdr:cNvPicPr>
          <a:picLocks noChangeAspect="1"/>
        </xdr:cNvPicPr>
      </xdr:nvPicPr>
      <xdr:blipFill>
        <a:blip r:embed="rId51"/>
        <a:stretch>
          <a:fillRect/>
        </a:stretch>
      </xdr:blipFill>
      <xdr:spPr>
        <a:xfrm rot="16200000">
          <a:off x="13771880" y="14289405"/>
          <a:ext cx="387985" cy="765175"/>
        </a:xfrm>
        <a:prstGeom prst="rect">
          <a:avLst/>
        </a:prstGeom>
        <a:noFill/>
        <a:ln>
          <a:noFill/>
        </a:ln>
      </xdr:spPr>
    </xdr:pic>
  </etc:cellImage>
  <etc:cellImage>
    <xdr:pic>
      <xdr:nvPicPr>
        <xdr:cNvPr id="41" name="ID_C1B3B97AE1F94027BDF4A7D5B9765F9D"/>
        <xdr:cNvPicPr>
          <a:picLocks noChangeAspect="1"/>
        </xdr:cNvPicPr>
      </xdr:nvPicPr>
      <xdr:blipFill>
        <a:blip r:embed="rId52"/>
        <a:stretch>
          <a:fillRect/>
        </a:stretch>
      </xdr:blipFill>
      <xdr:spPr>
        <a:xfrm>
          <a:off x="13732510" y="15654020"/>
          <a:ext cx="960755" cy="273685"/>
        </a:xfrm>
        <a:prstGeom prst="rect">
          <a:avLst/>
        </a:prstGeom>
        <a:noFill/>
        <a:ln>
          <a:noFill/>
        </a:ln>
      </xdr:spPr>
    </xdr:pic>
  </etc:cellImage>
  <etc:cellImage>
    <xdr:pic>
      <xdr:nvPicPr>
        <xdr:cNvPr id="44" name="ID_1580BC6383D94C0081879D8D4CABC2F0"/>
        <xdr:cNvPicPr>
          <a:picLocks noChangeAspect="1"/>
        </xdr:cNvPicPr>
      </xdr:nvPicPr>
      <xdr:blipFill>
        <a:blip r:embed="rId53"/>
        <a:stretch>
          <a:fillRect/>
        </a:stretch>
      </xdr:blipFill>
      <xdr:spPr>
        <a:xfrm>
          <a:off x="13559155" y="16757650"/>
          <a:ext cx="874395" cy="472440"/>
        </a:xfrm>
        <a:prstGeom prst="rect">
          <a:avLst/>
        </a:prstGeom>
        <a:noFill/>
        <a:ln>
          <a:noFill/>
        </a:ln>
      </xdr:spPr>
    </xdr:pic>
  </etc:cellImage>
  <etc:cellImage>
    <xdr:pic>
      <xdr:nvPicPr>
        <xdr:cNvPr id="46" name="ID_9D35F126368540EF8B2DB3015D568D37"/>
        <xdr:cNvPicPr>
          <a:picLocks noChangeAspect="1"/>
        </xdr:cNvPicPr>
      </xdr:nvPicPr>
      <xdr:blipFill>
        <a:blip r:embed="rId54"/>
        <a:stretch>
          <a:fillRect/>
        </a:stretch>
      </xdr:blipFill>
      <xdr:spPr>
        <a:xfrm>
          <a:off x="13559155" y="17519650"/>
          <a:ext cx="739775" cy="344805"/>
        </a:xfrm>
        <a:prstGeom prst="rect">
          <a:avLst/>
        </a:prstGeom>
        <a:noFill/>
        <a:ln>
          <a:noFill/>
        </a:ln>
      </xdr:spPr>
    </xdr:pic>
  </etc:cellImage>
  <etc:cellImage>
    <xdr:pic>
      <xdr:nvPicPr>
        <xdr:cNvPr id="48" name="ID_1EB335992D8B4303B93B46744F3CB060"/>
        <xdr:cNvPicPr>
          <a:picLocks noChangeAspect="1"/>
        </xdr:cNvPicPr>
      </xdr:nvPicPr>
      <xdr:blipFill>
        <a:blip r:embed="rId55"/>
        <a:stretch>
          <a:fillRect/>
        </a:stretch>
      </xdr:blipFill>
      <xdr:spPr>
        <a:xfrm>
          <a:off x="13559155" y="18281650"/>
          <a:ext cx="804545" cy="467360"/>
        </a:xfrm>
        <a:prstGeom prst="rect">
          <a:avLst/>
        </a:prstGeom>
        <a:noFill/>
        <a:ln>
          <a:noFill/>
        </a:ln>
      </xdr:spPr>
    </xdr:pic>
  </etc:cellImage>
  <etc:cellImage>
    <xdr:pic>
      <xdr:nvPicPr>
        <xdr:cNvPr id="49" name="ID_93606653A0AA46768807EE2291AFD8F3"/>
        <xdr:cNvPicPr>
          <a:picLocks noChangeAspect="1"/>
        </xdr:cNvPicPr>
      </xdr:nvPicPr>
      <xdr:blipFill>
        <a:blip r:embed="rId56"/>
        <a:stretch>
          <a:fillRect/>
        </a:stretch>
      </xdr:blipFill>
      <xdr:spPr>
        <a:xfrm>
          <a:off x="13559155" y="18662650"/>
          <a:ext cx="871855" cy="417195"/>
        </a:xfrm>
        <a:prstGeom prst="rect">
          <a:avLst/>
        </a:prstGeom>
        <a:noFill/>
        <a:ln>
          <a:noFill/>
        </a:ln>
      </xdr:spPr>
    </xdr:pic>
  </etc:cellImage>
  <etc:cellImage>
    <xdr:pic>
      <xdr:nvPicPr>
        <xdr:cNvPr id="50" name="ID_B79446EAB54E4972BC45F86D067881D9"/>
        <xdr:cNvPicPr>
          <a:picLocks noChangeAspect="1"/>
        </xdr:cNvPicPr>
      </xdr:nvPicPr>
      <xdr:blipFill>
        <a:blip r:embed="rId57"/>
        <a:stretch>
          <a:fillRect/>
        </a:stretch>
      </xdr:blipFill>
      <xdr:spPr>
        <a:xfrm>
          <a:off x="13559155" y="19043650"/>
          <a:ext cx="542925" cy="408305"/>
        </a:xfrm>
        <a:prstGeom prst="rect">
          <a:avLst/>
        </a:prstGeom>
        <a:noFill/>
        <a:ln>
          <a:noFill/>
        </a:ln>
      </xdr:spPr>
    </xdr:pic>
  </etc:cellImage>
  <etc:cellImage>
    <xdr:pic>
      <xdr:nvPicPr>
        <xdr:cNvPr id="52" name="ID_290590C3B71744E29D9AD520DC49FFD2"/>
        <xdr:cNvPicPr>
          <a:picLocks noChangeAspect="1"/>
        </xdr:cNvPicPr>
      </xdr:nvPicPr>
      <xdr:blipFill>
        <a:blip r:embed="rId58"/>
        <a:stretch>
          <a:fillRect/>
        </a:stretch>
      </xdr:blipFill>
      <xdr:spPr>
        <a:xfrm>
          <a:off x="13559155" y="19805650"/>
          <a:ext cx="1101090" cy="367665"/>
        </a:xfrm>
        <a:prstGeom prst="rect">
          <a:avLst/>
        </a:prstGeom>
        <a:noFill/>
        <a:ln>
          <a:noFill/>
        </a:ln>
      </xdr:spPr>
    </xdr:pic>
  </etc:cellImage>
  <etc:cellImage>
    <xdr:pic>
      <xdr:nvPicPr>
        <xdr:cNvPr id="58" name="ID_E99B2987E4144CD8B632ECF912544A08"/>
        <xdr:cNvPicPr>
          <a:picLocks noChangeAspect="1"/>
        </xdr:cNvPicPr>
      </xdr:nvPicPr>
      <xdr:blipFill>
        <a:blip r:embed="rId59"/>
        <a:stretch>
          <a:fillRect/>
        </a:stretch>
      </xdr:blipFill>
      <xdr:spPr>
        <a:xfrm>
          <a:off x="13559155" y="21710650"/>
          <a:ext cx="589915" cy="418465"/>
        </a:xfrm>
        <a:prstGeom prst="rect">
          <a:avLst/>
        </a:prstGeom>
        <a:noFill/>
        <a:ln>
          <a:noFill/>
        </a:ln>
      </xdr:spPr>
    </xdr:pic>
  </etc:cellImage>
  <etc:cellImage>
    <xdr:pic>
      <xdr:nvPicPr>
        <xdr:cNvPr id="60" name="ID_9790C799FAB54665B999302CE258017E"/>
        <xdr:cNvPicPr>
          <a:picLocks noChangeAspect="1"/>
        </xdr:cNvPicPr>
      </xdr:nvPicPr>
      <xdr:blipFill>
        <a:blip r:embed="rId60"/>
        <a:stretch>
          <a:fillRect/>
        </a:stretch>
      </xdr:blipFill>
      <xdr:spPr>
        <a:xfrm>
          <a:off x="13559155" y="22472650"/>
          <a:ext cx="611505" cy="384175"/>
        </a:xfrm>
        <a:prstGeom prst="rect">
          <a:avLst/>
        </a:prstGeom>
        <a:noFill/>
        <a:ln>
          <a:noFill/>
        </a:ln>
      </xdr:spPr>
    </xdr:pic>
  </etc:cellImage>
  <etc:cellImage>
    <xdr:pic>
      <xdr:nvPicPr>
        <xdr:cNvPr id="61" name="ID_B05D86026617406FA45D9E2B2F7EB484"/>
        <xdr:cNvPicPr>
          <a:picLocks noChangeAspect="1"/>
        </xdr:cNvPicPr>
      </xdr:nvPicPr>
      <xdr:blipFill>
        <a:blip r:embed="rId61"/>
        <a:stretch>
          <a:fillRect/>
        </a:stretch>
      </xdr:blipFill>
      <xdr:spPr>
        <a:xfrm>
          <a:off x="13559155" y="22853650"/>
          <a:ext cx="858520" cy="331470"/>
        </a:xfrm>
        <a:prstGeom prst="rect">
          <a:avLst/>
        </a:prstGeom>
        <a:noFill/>
        <a:ln>
          <a:noFill/>
        </a:ln>
      </xdr:spPr>
    </xdr:pic>
  </etc:cellImage>
  <etc:cellImage>
    <xdr:pic>
      <xdr:nvPicPr>
        <xdr:cNvPr id="65" name="ID_C3B09B3F0D2E4AD3AF93F3E438615792"/>
        <xdr:cNvPicPr>
          <a:picLocks noChangeAspect="1"/>
        </xdr:cNvPicPr>
      </xdr:nvPicPr>
      <xdr:blipFill>
        <a:blip r:embed="rId62"/>
        <a:stretch>
          <a:fillRect/>
        </a:stretch>
      </xdr:blipFill>
      <xdr:spPr>
        <a:xfrm>
          <a:off x="13559155" y="23996650"/>
          <a:ext cx="622300" cy="353060"/>
        </a:xfrm>
        <a:prstGeom prst="rect">
          <a:avLst/>
        </a:prstGeom>
        <a:noFill/>
        <a:ln>
          <a:noFill/>
        </a:ln>
      </xdr:spPr>
    </xdr:pic>
  </etc:cellImage>
  <etc:cellImage>
    <xdr:pic>
      <xdr:nvPicPr>
        <xdr:cNvPr id="66" name="ID_6EECEF4EC27A47CCA48B0D0C079E5CB2"/>
        <xdr:cNvPicPr>
          <a:picLocks noChangeAspect="1"/>
        </xdr:cNvPicPr>
      </xdr:nvPicPr>
      <xdr:blipFill>
        <a:blip r:embed="rId63"/>
        <a:stretch>
          <a:fillRect/>
        </a:stretch>
      </xdr:blipFill>
      <xdr:spPr>
        <a:xfrm>
          <a:off x="13559155" y="24377650"/>
          <a:ext cx="664845" cy="368300"/>
        </a:xfrm>
        <a:prstGeom prst="rect">
          <a:avLst/>
        </a:prstGeom>
        <a:noFill/>
        <a:ln>
          <a:noFill/>
        </a:ln>
      </xdr:spPr>
    </xdr:pic>
  </etc:cellImage>
  <etc:cellImage>
    <xdr:pic>
      <xdr:nvPicPr>
        <xdr:cNvPr id="67" name="ID_D9AC2E4C2B594B7494E4CB3D68316F8A"/>
        <xdr:cNvPicPr>
          <a:picLocks noChangeAspect="1"/>
        </xdr:cNvPicPr>
      </xdr:nvPicPr>
      <xdr:blipFill>
        <a:blip r:embed="rId64"/>
        <a:srcRect l="38101"/>
        <a:stretch>
          <a:fillRect/>
        </a:stretch>
      </xdr:blipFill>
      <xdr:spPr>
        <a:xfrm rot="16200000">
          <a:off x="13957300" y="24697055"/>
          <a:ext cx="426085" cy="568325"/>
        </a:xfrm>
        <a:prstGeom prst="rect">
          <a:avLst/>
        </a:prstGeom>
        <a:noFill/>
        <a:ln>
          <a:noFill/>
        </a:ln>
      </xdr:spPr>
    </xdr:pic>
  </etc:cellImage>
  <etc:cellImage>
    <xdr:pic>
      <xdr:nvPicPr>
        <xdr:cNvPr id="68" name="ID_B9F3E4E9C3E349AC8E956EA7E7A2C6D6"/>
        <xdr:cNvPicPr>
          <a:picLocks noChangeAspect="1"/>
        </xdr:cNvPicPr>
      </xdr:nvPicPr>
      <xdr:blipFill>
        <a:blip r:embed="rId65"/>
        <a:stretch>
          <a:fillRect/>
        </a:stretch>
      </xdr:blipFill>
      <xdr:spPr>
        <a:xfrm>
          <a:off x="13559155" y="25139650"/>
          <a:ext cx="577215" cy="432435"/>
        </a:xfrm>
        <a:prstGeom prst="rect">
          <a:avLst/>
        </a:prstGeom>
        <a:noFill/>
        <a:ln>
          <a:noFill/>
        </a:ln>
      </xdr:spPr>
    </xdr:pic>
  </etc:cellImage>
  <etc:cellImage>
    <xdr:pic>
      <xdr:nvPicPr>
        <xdr:cNvPr id="69" name="ID_9258CFD5E60C41C6814F7EEF30083FD1"/>
        <xdr:cNvPicPr>
          <a:picLocks noChangeAspect="1"/>
        </xdr:cNvPicPr>
      </xdr:nvPicPr>
      <xdr:blipFill>
        <a:blip r:embed="rId66"/>
        <a:stretch>
          <a:fillRect/>
        </a:stretch>
      </xdr:blipFill>
      <xdr:spPr>
        <a:xfrm>
          <a:off x="13736955" y="25546685"/>
          <a:ext cx="862330" cy="430530"/>
        </a:xfrm>
        <a:prstGeom prst="rect">
          <a:avLst/>
        </a:prstGeom>
        <a:noFill/>
        <a:ln>
          <a:noFill/>
        </a:ln>
      </xdr:spPr>
    </xdr:pic>
  </etc:cellImage>
  <etc:cellImage>
    <xdr:pic>
      <xdr:nvPicPr>
        <xdr:cNvPr id="262" name="ID_B40A970E303E4F5DB3C195D5613C5DEE"/>
        <xdr:cNvPicPr>
          <a:picLocks noChangeAspect="1"/>
        </xdr:cNvPicPr>
      </xdr:nvPicPr>
      <xdr:blipFill>
        <a:blip r:embed="rId67" r:link="rId2"/>
        <a:stretch>
          <a:fillRect/>
        </a:stretch>
      </xdr:blipFill>
      <xdr:spPr>
        <a:xfrm>
          <a:off x="13557885" y="25901650"/>
          <a:ext cx="386080" cy="217170"/>
        </a:xfrm>
        <a:prstGeom prst="rect">
          <a:avLst/>
        </a:prstGeom>
        <a:noFill/>
        <a:ln w="9525">
          <a:noFill/>
        </a:ln>
      </xdr:spPr>
    </xdr:pic>
  </etc:cellImage>
  <etc:cellImage>
    <xdr:pic>
      <xdr:nvPicPr>
        <xdr:cNvPr id="263" name="ID_67DAF9CEFCEE48D18ADC85D4DDC29FAF"/>
        <xdr:cNvPicPr>
          <a:picLocks noChangeAspect="1"/>
        </xdr:cNvPicPr>
      </xdr:nvPicPr>
      <xdr:blipFill>
        <a:blip r:embed="rId68" r:link="rId2"/>
        <a:stretch>
          <a:fillRect/>
        </a:stretch>
      </xdr:blipFill>
      <xdr:spPr>
        <a:xfrm>
          <a:off x="13557885" y="27425650"/>
          <a:ext cx="354330" cy="217170"/>
        </a:xfrm>
        <a:prstGeom prst="rect">
          <a:avLst/>
        </a:prstGeom>
        <a:noFill/>
        <a:ln w="9525">
          <a:noFill/>
        </a:ln>
      </xdr:spPr>
    </xdr:pic>
  </etc:cellImage>
  <etc:cellImage>
    <xdr:pic>
      <xdr:nvPicPr>
        <xdr:cNvPr id="264" name="ID_E0FCED2F2DEB41C6B605E08E2C89045C"/>
        <xdr:cNvPicPr>
          <a:picLocks noChangeAspect="1"/>
        </xdr:cNvPicPr>
      </xdr:nvPicPr>
      <xdr:blipFill>
        <a:blip r:embed="rId69" r:link="rId2"/>
        <a:stretch>
          <a:fillRect/>
        </a:stretch>
      </xdr:blipFill>
      <xdr:spPr>
        <a:xfrm>
          <a:off x="13557885" y="28949650"/>
          <a:ext cx="316230" cy="217170"/>
        </a:xfrm>
        <a:prstGeom prst="rect">
          <a:avLst/>
        </a:prstGeom>
        <a:noFill/>
        <a:ln w="9525">
          <a:noFill/>
        </a:ln>
      </xdr:spPr>
    </xdr:pic>
  </etc:cellImage>
  <etc:cellImage>
    <xdr:pic>
      <xdr:nvPicPr>
        <xdr:cNvPr id="265" name="ID_F73AAE817ADF4F6B8DCE25BF811B6C93"/>
        <xdr:cNvPicPr>
          <a:picLocks noChangeAspect="1"/>
        </xdr:cNvPicPr>
      </xdr:nvPicPr>
      <xdr:blipFill>
        <a:blip r:embed="rId70" r:link="rId2"/>
        <a:stretch>
          <a:fillRect/>
        </a:stretch>
      </xdr:blipFill>
      <xdr:spPr>
        <a:xfrm>
          <a:off x="13557885" y="29330650"/>
          <a:ext cx="392430" cy="217170"/>
        </a:xfrm>
        <a:prstGeom prst="rect">
          <a:avLst/>
        </a:prstGeom>
        <a:noFill/>
        <a:ln w="9525">
          <a:noFill/>
        </a:ln>
      </xdr:spPr>
    </xdr:pic>
  </etc:cellImage>
  <etc:cellImage>
    <xdr:pic>
      <xdr:nvPicPr>
        <xdr:cNvPr id="266" name="ID_E7220DA372464661B5784B088A17B5C1"/>
        <xdr:cNvPicPr>
          <a:picLocks noChangeAspect="1"/>
        </xdr:cNvPicPr>
      </xdr:nvPicPr>
      <xdr:blipFill>
        <a:blip r:embed="rId71" r:link="rId2"/>
        <a:stretch>
          <a:fillRect/>
        </a:stretch>
      </xdr:blipFill>
      <xdr:spPr>
        <a:xfrm>
          <a:off x="13557885" y="29711650"/>
          <a:ext cx="163830" cy="217170"/>
        </a:xfrm>
        <a:prstGeom prst="rect">
          <a:avLst/>
        </a:prstGeom>
        <a:noFill/>
        <a:ln w="9525">
          <a:noFill/>
        </a:ln>
      </xdr:spPr>
    </xdr:pic>
  </etc:cellImage>
  <etc:cellImage>
    <xdr:pic>
      <xdr:nvPicPr>
        <xdr:cNvPr id="267" name="ID_C7CA0887D99445F89CFA1E45ABCBE067"/>
        <xdr:cNvPicPr>
          <a:picLocks noChangeAspect="1"/>
        </xdr:cNvPicPr>
      </xdr:nvPicPr>
      <xdr:blipFill>
        <a:blip r:embed="rId72" r:link="rId2"/>
        <a:stretch>
          <a:fillRect/>
        </a:stretch>
      </xdr:blipFill>
      <xdr:spPr>
        <a:xfrm>
          <a:off x="13557885" y="27044650"/>
          <a:ext cx="702310" cy="364490"/>
        </a:xfrm>
        <a:prstGeom prst="rect">
          <a:avLst/>
        </a:prstGeom>
        <a:noFill/>
        <a:ln w="9525">
          <a:noFill/>
        </a:ln>
      </xdr:spPr>
    </xdr:pic>
  </etc:cellImage>
  <etc:cellImage>
    <xdr:pic>
      <xdr:nvPicPr>
        <xdr:cNvPr id="268" name="ID_DA3D51D1E4D74650988C807CDC410648"/>
        <xdr:cNvPicPr>
          <a:picLocks noChangeAspect="1"/>
        </xdr:cNvPicPr>
      </xdr:nvPicPr>
      <xdr:blipFill>
        <a:blip r:embed="rId73" r:link="rId2"/>
        <a:stretch>
          <a:fillRect/>
        </a:stretch>
      </xdr:blipFill>
      <xdr:spPr>
        <a:xfrm>
          <a:off x="13557885" y="27806650"/>
          <a:ext cx="674370" cy="347980"/>
        </a:xfrm>
        <a:prstGeom prst="rect">
          <a:avLst/>
        </a:prstGeom>
        <a:noFill/>
        <a:ln w="9525">
          <a:noFill/>
        </a:ln>
      </xdr:spPr>
    </xdr:pic>
  </etc:cellImage>
  <etc:cellImage>
    <xdr:pic>
      <xdr:nvPicPr>
        <xdr:cNvPr id="269" name="ID_CCAABE6708F44A89B2F0A7566A3D1F37"/>
        <xdr:cNvPicPr>
          <a:picLocks noChangeAspect="1"/>
        </xdr:cNvPicPr>
      </xdr:nvPicPr>
      <xdr:blipFill>
        <a:blip r:embed="rId74" r:link="rId2"/>
        <a:stretch>
          <a:fillRect/>
        </a:stretch>
      </xdr:blipFill>
      <xdr:spPr>
        <a:xfrm>
          <a:off x="13557885" y="28187650"/>
          <a:ext cx="386080" cy="217170"/>
        </a:xfrm>
        <a:prstGeom prst="rect">
          <a:avLst/>
        </a:prstGeom>
        <a:noFill/>
        <a:ln w="9525">
          <a:noFill/>
        </a:ln>
      </xdr:spPr>
    </xdr:pic>
  </etc:cellImage>
  <etc:cellImage>
    <xdr:pic>
      <xdr:nvPicPr>
        <xdr:cNvPr id="270" name="ID_E3C72633E5B941D5977DB1E2202B8B33"/>
        <xdr:cNvPicPr>
          <a:picLocks noChangeAspect="1"/>
        </xdr:cNvPicPr>
      </xdr:nvPicPr>
      <xdr:blipFill>
        <a:blip r:embed="rId75" r:link="rId2"/>
        <a:stretch>
          <a:fillRect/>
        </a:stretch>
      </xdr:blipFill>
      <xdr:spPr>
        <a:xfrm>
          <a:off x="13557885" y="28568650"/>
          <a:ext cx="805180" cy="381000"/>
        </a:xfrm>
        <a:prstGeom prst="rect">
          <a:avLst/>
        </a:prstGeom>
        <a:noFill/>
        <a:ln w="9525">
          <a:noFill/>
        </a:ln>
      </xdr:spPr>
    </xdr:pic>
  </etc:cellImage>
  <etc:cellImage>
    <xdr:pic>
      <xdr:nvPicPr>
        <xdr:cNvPr id="271" name="ID_57F86513A98E4AB7B581DB6654B03156"/>
        <xdr:cNvPicPr>
          <a:picLocks noChangeAspect="1"/>
        </xdr:cNvPicPr>
      </xdr:nvPicPr>
      <xdr:blipFill>
        <a:blip r:embed="rId76" r:link="rId2"/>
        <a:stretch>
          <a:fillRect/>
        </a:stretch>
      </xdr:blipFill>
      <xdr:spPr>
        <a:xfrm>
          <a:off x="13557885" y="30473650"/>
          <a:ext cx="457200" cy="217170"/>
        </a:xfrm>
        <a:prstGeom prst="rect">
          <a:avLst/>
        </a:prstGeom>
        <a:noFill/>
        <a:ln w="9525">
          <a:noFill/>
        </a:ln>
      </xdr:spPr>
    </xdr:pic>
  </etc:cellImage>
  <etc:cellImage>
    <xdr:pic>
      <xdr:nvPicPr>
        <xdr:cNvPr id="272" name="ID_E55ED0FBFF8C4C36AD5E8040B517A55F"/>
        <xdr:cNvPicPr>
          <a:picLocks noChangeAspect="1"/>
        </xdr:cNvPicPr>
      </xdr:nvPicPr>
      <xdr:blipFill>
        <a:blip r:embed="rId77" r:link="rId2"/>
        <a:stretch>
          <a:fillRect/>
        </a:stretch>
      </xdr:blipFill>
      <xdr:spPr>
        <a:xfrm>
          <a:off x="13557885" y="30854650"/>
          <a:ext cx="566420" cy="217170"/>
        </a:xfrm>
        <a:prstGeom prst="rect">
          <a:avLst/>
        </a:prstGeom>
        <a:noFill/>
        <a:ln w="9525">
          <a:noFill/>
        </a:ln>
      </xdr:spPr>
    </xdr:pic>
  </etc:cellImage>
  <etc:cellImage>
    <xdr:pic>
      <xdr:nvPicPr>
        <xdr:cNvPr id="273" name="ID_FFC24DFD76BD47D1A1D7BC42BA0132F7"/>
        <xdr:cNvPicPr>
          <a:picLocks noChangeAspect="1"/>
        </xdr:cNvPicPr>
      </xdr:nvPicPr>
      <xdr:blipFill>
        <a:blip r:embed="rId78" r:link="rId2"/>
        <a:stretch>
          <a:fillRect/>
        </a:stretch>
      </xdr:blipFill>
      <xdr:spPr>
        <a:xfrm>
          <a:off x="13557885" y="31235650"/>
          <a:ext cx="288290" cy="217170"/>
        </a:xfrm>
        <a:prstGeom prst="rect">
          <a:avLst/>
        </a:prstGeom>
        <a:noFill/>
        <a:ln w="9525">
          <a:noFill/>
        </a:ln>
      </xdr:spPr>
    </xdr:pic>
  </etc:cellImage>
  <etc:cellImage>
    <xdr:pic>
      <xdr:nvPicPr>
        <xdr:cNvPr id="274" name="ID_DCB4D494674949C4A100A29A4E36CD24"/>
        <xdr:cNvPicPr>
          <a:picLocks noChangeAspect="1"/>
        </xdr:cNvPicPr>
      </xdr:nvPicPr>
      <xdr:blipFill>
        <a:blip r:embed="rId79" r:link="rId2"/>
        <a:stretch>
          <a:fillRect/>
        </a:stretch>
      </xdr:blipFill>
      <xdr:spPr>
        <a:xfrm>
          <a:off x="13685520" y="31693485"/>
          <a:ext cx="483870" cy="217170"/>
        </a:xfrm>
        <a:prstGeom prst="rect">
          <a:avLst/>
        </a:prstGeom>
        <a:noFill/>
        <a:ln w="9525">
          <a:noFill/>
        </a:ln>
      </xdr:spPr>
    </xdr:pic>
  </etc:cellImage>
  <etc:cellImage>
    <xdr:pic>
      <xdr:nvPicPr>
        <xdr:cNvPr id="275" name="ID_B25B0CA5DF054676ABFE5319271FC946"/>
        <xdr:cNvPicPr>
          <a:picLocks noChangeAspect="1"/>
        </xdr:cNvPicPr>
      </xdr:nvPicPr>
      <xdr:blipFill>
        <a:blip r:embed="rId80" r:link="rId2"/>
        <a:stretch>
          <a:fillRect/>
        </a:stretch>
      </xdr:blipFill>
      <xdr:spPr>
        <a:xfrm>
          <a:off x="13670280" y="33217485"/>
          <a:ext cx="414020" cy="217170"/>
        </a:xfrm>
        <a:prstGeom prst="rect">
          <a:avLst/>
        </a:prstGeom>
        <a:noFill/>
        <a:ln w="9525">
          <a:noFill/>
        </a:ln>
      </xdr:spPr>
    </xdr:pic>
  </etc:cellImage>
  <etc:cellImage>
    <xdr:pic>
      <xdr:nvPicPr>
        <xdr:cNvPr id="276" name="ID_21B1138ED52847FA97BE25B9BACEAF48"/>
        <xdr:cNvPicPr>
          <a:picLocks noChangeAspect="1"/>
        </xdr:cNvPicPr>
      </xdr:nvPicPr>
      <xdr:blipFill>
        <a:blip r:embed="rId81" r:link="rId2"/>
        <a:stretch>
          <a:fillRect/>
        </a:stretch>
      </xdr:blipFill>
      <xdr:spPr>
        <a:xfrm>
          <a:off x="13630910" y="34042350"/>
          <a:ext cx="386080" cy="217170"/>
        </a:xfrm>
        <a:prstGeom prst="rect">
          <a:avLst/>
        </a:prstGeom>
        <a:noFill/>
        <a:ln w="9525">
          <a:noFill/>
        </a:ln>
      </xdr:spPr>
    </xdr:pic>
  </etc:cellImage>
  <etc:cellImage>
    <xdr:pic>
      <xdr:nvPicPr>
        <xdr:cNvPr id="277" name="ID_A321F4FDB3B842EF97BD9F23CFCD76DD"/>
        <xdr:cNvPicPr>
          <a:picLocks noChangeAspect="1"/>
        </xdr:cNvPicPr>
      </xdr:nvPicPr>
      <xdr:blipFill>
        <a:blip r:embed="rId82" r:link="rId2"/>
        <a:stretch>
          <a:fillRect/>
        </a:stretch>
      </xdr:blipFill>
      <xdr:spPr>
        <a:xfrm>
          <a:off x="13557885" y="34664650"/>
          <a:ext cx="299720" cy="217170"/>
        </a:xfrm>
        <a:prstGeom prst="rect">
          <a:avLst/>
        </a:prstGeom>
        <a:noFill/>
        <a:ln w="9525">
          <a:noFill/>
        </a:ln>
      </xdr:spPr>
    </xdr:pic>
  </etc:cellImage>
  <etc:cellImage>
    <xdr:pic>
      <xdr:nvPicPr>
        <xdr:cNvPr id="278" name="ID_03A8F5EE49B046BC8363E327758CB657"/>
        <xdr:cNvPicPr>
          <a:picLocks noChangeAspect="1"/>
        </xdr:cNvPicPr>
      </xdr:nvPicPr>
      <xdr:blipFill>
        <a:blip r:embed="rId83" r:link="rId2"/>
        <a:stretch>
          <a:fillRect/>
        </a:stretch>
      </xdr:blipFill>
      <xdr:spPr>
        <a:xfrm>
          <a:off x="13557885" y="34283650"/>
          <a:ext cx="626110" cy="309880"/>
        </a:xfrm>
        <a:prstGeom prst="rect">
          <a:avLst/>
        </a:prstGeom>
        <a:noFill/>
        <a:ln w="9525">
          <a:noFill/>
        </a:ln>
      </xdr:spPr>
    </xdr:pic>
  </etc:cellImage>
  <etc:cellImage>
    <xdr:pic>
      <xdr:nvPicPr>
        <xdr:cNvPr id="279" name="ID_E25EC9CECEC042F89E171D8582269DEF"/>
        <xdr:cNvPicPr>
          <a:picLocks noChangeAspect="1"/>
        </xdr:cNvPicPr>
      </xdr:nvPicPr>
      <xdr:blipFill>
        <a:blip r:embed="rId84" r:link="rId2"/>
        <a:stretch>
          <a:fillRect/>
        </a:stretch>
      </xdr:blipFill>
      <xdr:spPr>
        <a:xfrm>
          <a:off x="13557885" y="33521650"/>
          <a:ext cx="478790" cy="212090"/>
        </a:xfrm>
        <a:prstGeom prst="rect">
          <a:avLst/>
        </a:prstGeom>
        <a:noFill/>
        <a:ln w="9525">
          <a:noFill/>
        </a:ln>
      </xdr:spPr>
    </xdr:pic>
  </etc:cellImage>
  <etc:cellImage>
    <xdr:pic>
      <xdr:nvPicPr>
        <xdr:cNvPr id="280" name="ID_30738FA729EB46418B327987370EB489"/>
        <xdr:cNvPicPr>
          <a:picLocks noChangeAspect="1"/>
        </xdr:cNvPicPr>
      </xdr:nvPicPr>
      <xdr:blipFill>
        <a:blip r:embed="rId85" r:link="rId2"/>
        <a:stretch>
          <a:fillRect/>
        </a:stretch>
      </xdr:blipFill>
      <xdr:spPr>
        <a:xfrm>
          <a:off x="13557885" y="32759650"/>
          <a:ext cx="369570" cy="195580"/>
        </a:xfrm>
        <a:prstGeom prst="rect">
          <a:avLst/>
        </a:prstGeom>
        <a:noFill/>
        <a:ln w="9525">
          <a:noFill/>
        </a:ln>
      </xdr:spPr>
    </xdr:pic>
  </etc:cellImage>
  <etc:cellImage>
    <xdr:pic>
      <xdr:nvPicPr>
        <xdr:cNvPr id="281" name="ID_639461AE4D984CEBA92CD54B362CDAE5"/>
        <xdr:cNvPicPr>
          <a:picLocks noChangeAspect="1"/>
        </xdr:cNvPicPr>
      </xdr:nvPicPr>
      <xdr:blipFill>
        <a:blip r:embed="rId86" r:link="rId2"/>
        <a:stretch>
          <a:fillRect/>
        </a:stretch>
      </xdr:blipFill>
      <xdr:spPr>
        <a:xfrm>
          <a:off x="13557885" y="32378650"/>
          <a:ext cx="506730" cy="261620"/>
        </a:xfrm>
        <a:prstGeom prst="rect">
          <a:avLst/>
        </a:prstGeom>
        <a:noFill/>
        <a:ln w="9525">
          <a:noFill/>
        </a:ln>
      </xdr:spPr>
    </xdr:pic>
  </etc:cellImage>
  <etc:cellImage>
    <xdr:pic>
      <xdr:nvPicPr>
        <xdr:cNvPr id="282" name="ID_587A746376F5497886009B276B01E484"/>
        <xdr:cNvPicPr>
          <a:picLocks noChangeAspect="1"/>
        </xdr:cNvPicPr>
      </xdr:nvPicPr>
      <xdr:blipFill>
        <a:blip r:embed="rId87" r:link="rId2"/>
        <a:stretch>
          <a:fillRect/>
        </a:stretch>
      </xdr:blipFill>
      <xdr:spPr>
        <a:xfrm>
          <a:off x="13557885" y="31616650"/>
          <a:ext cx="690880" cy="354330"/>
        </a:xfrm>
        <a:prstGeom prst="rect">
          <a:avLst/>
        </a:prstGeom>
        <a:noFill/>
        <a:ln w="9525">
          <a:noFill/>
        </a:ln>
      </xdr:spPr>
    </xdr:pic>
  </etc:cellImage>
  <etc:cellImage>
    <xdr:pic>
      <xdr:nvPicPr>
        <xdr:cNvPr id="283" name="ID_480A6F979C4E402E984ED5572520B8D5"/>
        <xdr:cNvPicPr>
          <a:picLocks noChangeAspect="1"/>
        </xdr:cNvPicPr>
      </xdr:nvPicPr>
      <xdr:blipFill>
        <a:blip r:embed="rId88" r:link="rId2"/>
        <a:stretch>
          <a:fillRect/>
        </a:stretch>
      </xdr:blipFill>
      <xdr:spPr>
        <a:xfrm>
          <a:off x="13557885" y="35045650"/>
          <a:ext cx="419100" cy="217170"/>
        </a:xfrm>
        <a:prstGeom prst="rect">
          <a:avLst/>
        </a:prstGeom>
        <a:noFill/>
        <a:ln w="9525">
          <a:noFill/>
        </a:ln>
      </xdr:spPr>
    </xdr:pic>
  </etc:cellImage>
  <etc:cellImage>
    <xdr:pic>
      <xdr:nvPicPr>
        <xdr:cNvPr id="284" name="ID_A8E5F529AFA74A0BA50B109E42ED5D8B"/>
        <xdr:cNvPicPr>
          <a:picLocks noChangeAspect="1"/>
        </xdr:cNvPicPr>
      </xdr:nvPicPr>
      <xdr:blipFill>
        <a:blip r:embed="rId89" r:link="rId2"/>
        <a:stretch>
          <a:fillRect/>
        </a:stretch>
      </xdr:blipFill>
      <xdr:spPr>
        <a:xfrm>
          <a:off x="13557885" y="35426650"/>
          <a:ext cx="364490" cy="212090"/>
        </a:xfrm>
        <a:prstGeom prst="rect">
          <a:avLst/>
        </a:prstGeom>
        <a:noFill/>
        <a:ln w="9525">
          <a:noFill/>
        </a:ln>
      </xdr:spPr>
    </xdr:pic>
  </etc:cellImage>
  <etc:cellImage>
    <xdr:pic>
      <xdr:nvPicPr>
        <xdr:cNvPr id="285" name="ID_6436E0539C654818AA5F6094AA0017F5"/>
        <xdr:cNvPicPr>
          <a:picLocks noChangeAspect="1"/>
        </xdr:cNvPicPr>
      </xdr:nvPicPr>
      <xdr:blipFill>
        <a:blip r:embed="rId90" r:link="rId2"/>
        <a:stretch>
          <a:fillRect/>
        </a:stretch>
      </xdr:blipFill>
      <xdr:spPr>
        <a:xfrm>
          <a:off x="13557885" y="36188650"/>
          <a:ext cx="452120" cy="217170"/>
        </a:xfrm>
        <a:prstGeom prst="rect">
          <a:avLst/>
        </a:prstGeom>
        <a:noFill/>
        <a:ln w="9525">
          <a:noFill/>
        </a:ln>
      </xdr:spPr>
    </xdr:pic>
  </etc:cellImage>
  <etc:cellImage>
    <xdr:pic>
      <xdr:nvPicPr>
        <xdr:cNvPr id="286" name="ID_397A931FA5EB4BF990AA2E30B01BF5A1"/>
        <xdr:cNvPicPr>
          <a:picLocks noChangeAspect="1"/>
        </xdr:cNvPicPr>
      </xdr:nvPicPr>
      <xdr:blipFill>
        <a:blip r:embed="rId91" r:link="rId2"/>
        <a:stretch>
          <a:fillRect/>
        </a:stretch>
      </xdr:blipFill>
      <xdr:spPr>
        <a:xfrm rot="16200000">
          <a:off x="13689330" y="36475670"/>
          <a:ext cx="478155" cy="722630"/>
        </a:xfrm>
        <a:prstGeom prst="rect">
          <a:avLst/>
        </a:prstGeom>
        <a:noFill/>
        <a:ln w="9525">
          <a:noFill/>
        </a:ln>
      </xdr:spPr>
    </xdr:pic>
  </etc:cellImage>
  <etc:cellImage>
    <xdr:pic>
      <xdr:nvPicPr>
        <xdr:cNvPr id="287" name="ID_9BCDD1B0C04A49BF9DE8056658015A4B"/>
        <xdr:cNvPicPr>
          <a:picLocks noChangeAspect="1"/>
        </xdr:cNvPicPr>
      </xdr:nvPicPr>
      <xdr:blipFill>
        <a:blip r:embed="rId92" r:link="rId2"/>
        <a:stretch>
          <a:fillRect/>
        </a:stretch>
      </xdr:blipFill>
      <xdr:spPr>
        <a:xfrm>
          <a:off x="13557885" y="35807650"/>
          <a:ext cx="457200" cy="228600"/>
        </a:xfrm>
        <a:prstGeom prst="rect">
          <a:avLst/>
        </a:prstGeom>
        <a:noFill/>
        <a:ln w="9525">
          <a:noFill/>
        </a:ln>
      </xdr:spPr>
    </xdr:pic>
  </etc:cellImage>
  <etc:cellImage>
    <xdr:pic>
      <xdr:nvPicPr>
        <xdr:cNvPr id="288" name="ID_77EEE50D838843DC9C4910B7ADB0C470"/>
        <xdr:cNvPicPr>
          <a:picLocks noChangeAspect="1"/>
        </xdr:cNvPicPr>
      </xdr:nvPicPr>
      <xdr:blipFill>
        <a:blip r:embed="rId93" r:link="rId2"/>
        <a:stretch>
          <a:fillRect/>
        </a:stretch>
      </xdr:blipFill>
      <xdr:spPr>
        <a:xfrm>
          <a:off x="13557885" y="36950650"/>
          <a:ext cx="424180" cy="217170"/>
        </a:xfrm>
        <a:prstGeom prst="rect">
          <a:avLst/>
        </a:prstGeom>
        <a:noFill/>
        <a:ln w="9525">
          <a:noFill/>
        </a:ln>
      </xdr:spPr>
    </xdr:pic>
  </etc:cellImage>
  <etc:cellImage>
    <xdr:pic>
      <xdr:nvPicPr>
        <xdr:cNvPr id="289" name="ID_DBF44D1DAE9E4AF08EE756ACCDB3D85A"/>
        <xdr:cNvPicPr>
          <a:picLocks noChangeAspect="1"/>
        </xdr:cNvPicPr>
      </xdr:nvPicPr>
      <xdr:blipFill>
        <a:blip r:embed="rId94" r:link="rId2"/>
        <a:stretch>
          <a:fillRect/>
        </a:stretch>
      </xdr:blipFill>
      <xdr:spPr>
        <a:xfrm>
          <a:off x="13557885" y="39998650"/>
          <a:ext cx="293370" cy="217170"/>
        </a:xfrm>
        <a:prstGeom prst="rect">
          <a:avLst/>
        </a:prstGeom>
        <a:noFill/>
        <a:ln w="9525">
          <a:noFill/>
        </a:ln>
      </xdr:spPr>
    </xdr:pic>
  </etc:cellImage>
  <etc:cellImage>
    <xdr:pic>
      <xdr:nvPicPr>
        <xdr:cNvPr id="290" name="ID_B59E3BB764504FCCA5BDB03D0B8EB06E"/>
        <xdr:cNvPicPr>
          <a:picLocks noChangeAspect="1"/>
        </xdr:cNvPicPr>
      </xdr:nvPicPr>
      <xdr:blipFill>
        <a:blip r:embed="rId95" r:link="rId2"/>
        <a:stretch>
          <a:fillRect/>
        </a:stretch>
      </xdr:blipFill>
      <xdr:spPr>
        <a:xfrm>
          <a:off x="13557885" y="39617650"/>
          <a:ext cx="392430" cy="217170"/>
        </a:xfrm>
        <a:prstGeom prst="rect">
          <a:avLst/>
        </a:prstGeom>
        <a:noFill/>
        <a:ln w="9525">
          <a:noFill/>
        </a:ln>
      </xdr:spPr>
    </xdr:pic>
  </etc:cellImage>
  <etc:cellImage>
    <xdr:pic>
      <xdr:nvPicPr>
        <xdr:cNvPr id="291" name="ID_744E1C5EA7C24468960DAA33BBC558BE"/>
        <xdr:cNvPicPr>
          <a:picLocks noChangeAspect="1"/>
        </xdr:cNvPicPr>
      </xdr:nvPicPr>
      <xdr:blipFill>
        <a:blip r:embed="rId96" r:link="rId2"/>
        <a:stretch>
          <a:fillRect/>
        </a:stretch>
      </xdr:blipFill>
      <xdr:spPr>
        <a:xfrm>
          <a:off x="13557885" y="37331650"/>
          <a:ext cx="468630" cy="217170"/>
        </a:xfrm>
        <a:prstGeom prst="rect">
          <a:avLst/>
        </a:prstGeom>
        <a:noFill/>
        <a:ln w="9525">
          <a:noFill/>
        </a:ln>
      </xdr:spPr>
    </xdr:pic>
  </etc:cellImage>
  <etc:cellImage>
    <xdr:pic>
      <xdr:nvPicPr>
        <xdr:cNvPr id="292" name="ID_8E75258423904F978B8D295FA9150929"/>
        <xdr:cNvPicPr>
          <a:picLocks noChangeAspect="1"/>
        </xdr:cNvPicPr>
      </xdr:nvPicPr>
      <xdr:blipFill>
        <a:blip r:embed="rId97" r:link="rId2"/>
        <a:stretch>
          <a:fillRect/>
        </a:stretch>
      </xdr:blipFill>
      <xdr:spPr>
        <a:xfrm>
          <a:off x="13557885" y="26282650"/>
          <a:ext cx="402590" cy="217170"/>
        </a:xfrm>
        <a:prstGeom prst="rect">
          <a:avLst/>
        </a:prstGeom>
        <a:noFill/>
        <a:ln w="9525">
          <a:noFill/>
        </a:ln>
      </xdr:spPr>
    </xdr:pic>
  </etc:cellImage>
  <etc:cellImage>
    <xdr:pic>
      <xdr:nvPicPr>
        <xdr:cNvPr id="293" name="ID_4E291C5D7F5C45DAA4787E5B005AB433"/>
        <xdr:cNvPicPr>
          <a:picLocks noChangeAspect="1"/>
        </xdr:cNvPicPr>
      </xdr:nvPicPr>
      <xdr:blipFill>
        <a:blip r:embed="rId98" r:link="rId2"/>
        <a:stretch>
          <a:fillRect/>
        </a:stretch>
      </xdr:blipFill>
      <xdr:spPr>
        <a:xfrm>
          <a:off x="13557885" y="26663650"/>
          <a:ext cx="375920" cy="190500"/>
        </a:xfrm>
        <a:prstGeom prst="rect">
          <a:avLst/>
        </a:prstGeom>
        <a:noFill/>
        <a:ln w="9525">
          <a:noFill/>
        </a:ln>
      </xdr:spPr>
    </xdr:pic>
  </etc:cellImage>
  <etc:cellImage>
    <xdr:pic>
      <xdr:nvPicPr>
        <xdr:cNvPr id="294" name="ID_D5D0B59EACA34595AA20E89475C9ECB8"/>
        <xdr:cNvPicPr>
          <a:picLocks noChangeAspect="1"/>
        </xdr:cNvPicPr>
      </xdr:nvPicPr>
      <xdr:blipFill>
        <a:blip r:embed="rId99" r:link="rId2"/>
        <a:stretch>
          <a:fillRect/>
        </a:stretch>
      </xdr:blipFill>
      <xdr:spPr>
        <a:xfrm>
          <a:off x="13557885" y="37712650"/>
          <a:ext cx="473710" cy="217170"/>
        </a:xfrm>
        <a:prstGeom prst="rect">
          <a:avLst/>
        </a:prstGeom>
        <a:noFill/>
        <a:ln w="9525">
          <a:noFill/>
        </a:ln>
      </xdr:spPr>
    </xdr:pic>
  </etc:cellImage>
  <etc:cellImage>
    <xdr:pic>
      <xdr:nvPicPr>
        <xdr:cNvPr id="295" name="ID_CAFEA503AF144665922C4D183E2D96BA"/>
        <xdr:cNvPicPr>
          <a:picLocks noChangeAspect="1"/>
        </xdr:cNvPicPr>
      </xdr:nvPicPr>
      <xdr:blipFill>
        <a:blip r:embed="rId100" r:link="rId2"/>
        <a:stretch>
          <a:fillRect/>
        </a:stretch>
      </xdr:blipFill>
      <xdr:spPr>
        <a:xfrm>
          <a:off x="13557885" y="38093650"/>
          <a:ext cx="381000" cy="217170"/>
        </a:xfrm>
        <a:prstGeom prst="rect">
          <a:avLst/>
        </a:prstGeom>
        <a:noFill/>
        <a:ln w="9525">
          <a:noFill/>
        </a:ln>
      </xdr:spPr>
    </xdr:pic>
  </etc:cellImage>
  <etc:cellImage>
    <xdr:pic>
      <xdr:nvPicPr>
        <xdr:cNvPr id="296" name="ID_175BC80E5D244DEA8E89C69806690501"/>
        <xdr:cNvPicPr>
          <a:picLocks noChangeAspect="1"/>
        </xdr:cNvPicPr>
      </xdr:nvPicPr>
      <xdr:blipFill>
        <a:blip r:embed="rId101" r:link="rId2"/>
        <a:stretch>
          <a:fillRect/>
        </a:stretch>
      </xdr:blipFill>
      <xdr:spPr>
        <a:xfrm>
          <a:off x="13557885" y="38474650"/>
          <a:ext cx="462280" cy="217170"/>
        </a:xfrm>
        <a:prstGeom prst="rect">
          <a:avLst/>
        </a:prstGeom>
        <a:noFill/>
        <a:ln w="9525">
          <a:noFill/>
        </a:ln>
      </xdr:spPr>
    </xdr:pic>
  </etc:cellImage>
  <etc:cellImage>
    <xdr:pic>
      <xdr:nvPicPr>
        <xdr:cNvPr id="297" name="ID_ECD49A0479BE4A9EBA14814787668E30"/>
        <xdr:cNvPicPr>
          <a:picLocks noChangeAspect="1"/>
        </xdr:cNvPicPr>
      </xdr:nvPicPr>
      <xdr:blipFill>
        <a:blip r:embed="rId102" r:link="rId2"/>
        <a:stretch>
          <a:fillRect/>
        </a:stretch>
      </xdr:blipFill>
      <xdr:spPr>
        <a:xfrm>
          <a:off x="13557885" y="38855650"/>
          <a:ext cx="414020" cy="217170"/>
        </a:xfrm>
        <a:prstGeom prst="rect">
          <a:avLst/>
        </a:prstGeom>
        <a:noFill/>
        <a:ln w="9525">
          <a:noFill/>
        </a:ln>
      </xdr:spPr>
    </xdr:pic>
  </etc:cellImage>
  <etc:cellImage>
    <xdr:pic>
      <xdr:nvPicPr>
        <xdr:cNvPr id="298" name="ID_C796B9D6D56746DB9129A3CFAEB4C426"/>
        <xdr:cNvPicPr>
          <a:picLocks noChangeAspect="1"/>
        </xdr:cNvPicPr>
      </xdr:nvPicPr>
      <xdr:blipFill>
        <a:blip r:embed="rId103" r:link="rId2"/>
        <a:stretch>
          <a:fillRect/>
        </a:stretch>
      </xdr:blipFill>
      <xdr:spPr>
        <a:xfrm>
          <a:off x="13557885" y="39236650"/>
          <a:ext cx="424180" cy="217170"/>
        </a:xfrm>
        <a:prstGeom prst="rect">
          <a:avLst/>
        </a:prstGeom>
        <a:noFill/>
        <a:ln w="9525">
          <a:noFill/>
        </a:ln>
      </xdr:spPr>
    </xdr:pic>
  </etc:cellImage>
  <etc:cellImage>
    <xdr:pic>
      <xdr:nvPicPr>
        <xdr:cNvPr id="299" name="ID_B76FEFD76EAD48FEA3C0821A15C75F91"/>
        <xdr:cNvPicPr>
          <a:picLocks noChangeAspect="1"/>
        </xdr:cNvPicPr>
      </xdr:nvPicPr>
      <xdr:blipFill>
        <a:blip r:embed="rId104" r:link="rId2"/>
        <a:stretch>
          <a:fillRect/>
        </a:stretch>
      </xdr:blipFill>
      <xdr:spPr>
        <a:xfrm>
          <a:off x="13557885" y="42665650"/>
          <a:ext cx="407670" cy="217170"/>
        </a:xfrm>
        <a:prstGeom prst="rect">
          <a:avLst/>
        </a:prstGeom>
        <a:noFill/>
        <a:ln w="9525">
          <a:noFill/>
        </a:ln>
      </xdr:spPr>
    </xdr:pic>
  </etc:cellImage>
  <etc:cellImage>
    <xdr:pic>
      <xdr:nvPicPr>
        <xdr:cNvPr id="300" name="ID_5204E82EA48A4166A42CB546D0CE922F"/>
        <xdr:cNvPicPr>
          <a:picLocks noChangeAspect="1"/>
        </xdr:cNvPicPr>
      </xdr:nvPicPr>
      <xdr:blipFill>
        <a:blip r:embed="rId105" r:link="rId2"/>
        <a:stretch>
          <a:fillRect/>
        </a:stretch>
      </xdr:blipFill>
      <xdr:spPr>
        <a:xfrm>
          <a:off x="13557885" y="42284650"/>
          <a:ext cx="321310" cy="217170"/>
        </a:xfrm>
        <a:prstGeom prst="rect">
          <a:avLst/>
        </a:prstGeom>
        <a:noFill/>
        <a:ln w="9525">
          <a:noFill/>
        </a:ln>
      </xdr:spPr>
    </xdr:pic>
  </etc:cellImage>
  <etc:cellImage>
    <xdr:pic>
      <xdr:nvPicPr>
        <xdr:cNvPr id="301" name="ID_60868A461C5C4ABFAAD8E77119EC4B7D"/>
        <xdr:cNvPicPr>
          <a:picLocks noChangeAspect="1"/>
        </xdr:cNvPicPr>
      </xdr:nvPicPr>
      <xdr:blipFill>
        <a:blip r:embed="rId106" r:link="rId2"/>
        <a:stretch>
          <a:fillRect/>
        </a:stretch>
      </xdr:blipFill>
      <xdr:spPr>
        <a:xfrm>
          <a:off x="13557885" y="41903650"/>
          <a:ext cx="407670" cy="217170"/>
        </a:xfrm>
        <a:prstGeom prst="rect">
          <a:avLst/>
        </a:prstGeom>
        <a:noFill/>
        <a:ln w="9525">
          <a:noFill/>
        </a:ln>
      </xdr:spPr>
    </xdr:pic>
  </etc:cellImage>
  <etc:cellImage>
    <xdr:pic>
      <xdr:nvPicPr>
        <xdr:cNvPr id="302" name="ID_57EB71BD5653469AB53E9E5DABE76D29"/>
        <xdr:cNvPicPr>
          <a:picLocks noChangeAspect="1"/>
        </xdr:cNvPicPr>
      </xdr:nvPicPr>
      <xdr:blipFill>
        <a:blip r:embed="rId107" r:link="rId2"/>
        <a:stretch>
          <a:fillRect/>
        </a:stretch>
      </xdr:blipFill>
      <xdr:spPr>
        <a:xfrm>
          <a:off x="13557885" y="41522650"/>
          <a:ext cx="386080" cy="217170"/>
        </a:xfrm>
        <a:prstGeom prst="rect">
          <a:avLst/>
        </a:prstGeom>
        <a:noFill/>
        <a:ln w="9525">
          <a:noFill/>
        </a:ln>
      </xdr:spPr>
    </xdr:pic>
  </etc:cellImage>
  <etc:cellImage>
    <xdr:pic>
      <xdr:nvPicPr>
        <xdr:cNvPr id="303" name="ID_55EB950D551E4CB4A91898872C5A3472"/>
        <xdr:cNvPicPr>
          <a:picLocks noChangeAspect="1"/>
        </xdr:cNvPicPr>
      </xdr:nvPicPr>
      <xdr:blipFill>
        <a:blip r:embed="rId108" r:link="rId2"/>
        <a:stretch>
          <a:fillRect/>
        </a:stretch>
      </xdr:blipFill>
      <xdr:spPr>
        <a:xfrm>
          <a:off x="13557885" y="41141650"/>
          <a:ext cx="347980" cy="217170"/>
        </a:xfrm>
        <a:prstGeom prst="rect">
          <a:avLst/>
        </a:prstGeom>
        <a:noFill/>
        <a:ln w="9525">
          <a:noFill/>
        </a:ln>
      </xdr:spPr>
    </xdr:pic>
  </etc:cellImage>
  <etc:cellImage>
    <xdr:pic>
      <xdr:nvPicPr>
        <xdr:cNvPr id="304" name="ID_CB16E147D4A4458AAC9B9E42A98B4F60"/>
        <xdr:cNvPicPr>
          <a:picLocks noChangeAspect="1"/>
        </xdr:cNvPicPr>
      </xdr:nvPicPr>
      <xdr:blipFill>
        <a:blip r:embed="rId109" r:link="rId2"/>
        <a:stretch>
          <a:fillRect/>
        </a:stretch>
      </xdr:blipFill>
      <xdr:spPr>
        <a:xfrm>
          <a:off x="13557885" y="40760650"/>
          <a:ext cx="261620" cy="217170"/>
        </a:xfrm>
        <a:prstGeom prst="rect">
          <a:avLst/>
        </a:prstGeom>
        <a:noFill/>
        <a:ln w="9525">
          <a:noFill/>
        </a:ln>
      </xdr:spPr>
    </xdr:pic>
  </etc:cellImage>
  <etc:cellImage>
    <xdr:pic>
      <xdr:nvPicPr>
        <xdr:cNvPr id="305" name="ID_0FAEE720185142ACA4D0BEFBC4494BDE"/>
        <xdr:cNvPicPr>
          <a:picLocks noChangeAspect="1"/>
        </xdr:cNvPicPr>
      </xdr:nvPicPr>
      <xdr:blipFill>
        <a:blip r:embed="rId110" r:link="rId2"/>
        <a:stretch>
          <a:fillRect/>
        </a:stretch>
      </xdr:blipFill>
      <xdr:spPr>
        <a:xfrm>
          <a:off x="13557885" y="44189650"/>
          <a:ext cx="440690" cy="217170"/>
        </a:xfrm>
        <a:prstGeom prst="rect">
          <a:avLst/>
        </a:prstGeom>
        <a:noFill/>
        <a:ln w="9525">
          <a:noFill/>
        </a:ln>
      </xdr:spPr>
    </xdr:pic>
  </etc:cellImage>
  <etc:cellImage>
    <xdr:pic>
      <xdr:nvPicPr>
        <xdr:cNvPr id="306" name="ID_7BA27B6234F54784B444E7D01D11D62E"/>
        <xdr:cNvPicPr>
          <a:picLocks noChangeAspect="1"/>
        </xdr:cNvPicPr>
      </xdr:nvPicPr>
      <xdr:blipFill>
        <a:blip r:embed="rId111" r:link="rId2"/>
        <a:stretch>
          <a:fillRect/>
        </a:stretch>
      </xdr:blipFill>
      <xdr:spPr>
        <a:xfrm>
          <a:off x="13557885" y="43808650"/>
          <a:ext cx="331470" cy="217170"/>
        </a:xfrm>
        <a:prstGeom prst="rect">
          <a:avLst/>
        </a:prstGeom>
        <a:noFill/>
        <a:ln w="9525">
          <a:noFill/>
        </a:ln>
      </xdr:spPr>
    </xdr:pic>
  </etc:cellImage>
  <etc:cellImage>
    <xdr:pic>
      <xdr:nvPicPr>
        <xdr:cNvPr id="307" name="ID_96914C482CBB43838837FFD5EF4963A3"/>
        <xdr:cNvPicPr>
          <a:picLocks noChangeAspect="1"/>
        </xdr:cNvPicPr>
      </xdr:nvPicPr>
      <xdr:blipFill>
        <a:blip r:embed="rId112" r:link="rId2"/>
        <a:stretch>
          <a:fillRect/>
        </a:stretch>
      </xdr:blipFill>
      <xdr:spPr>
        <a:xfrm>
          <a:off x="13557885" y="43427650"/>
          <a:ext cx="217170" cy="217170"/>
        </a:xfrm>
        <a:prstGeom prst="rect">
          <a:avLst/>
        </a:prstGeom>
        <a:noFill/>
        <a:ln w="9525">
          <a:noFill/>
        </a:ln>
      </xdr:spPr>
    </xdr:pic>
  </etc:cellImage>
  <etc:cellImage>
    <xdr:pic>
      <xdr:nvPicPr>
        <xdr:cNvPr id="308" name="ID_ACF98FED961B4FB08D4B625A97C629F8"/>
        <xdr:cNvPicPr>
          <a:picLocks noChangeAspect="1"/>
        </xdr:cNvPicPr>
      </xdr:nvPicPr>
      <xdr:blipFill>
        <a:blip r:embed="rId113" r:link="rId2"/>
        <a:stretch>
          <a:fillRect/>
        </a:stretch>
      </xdr:blipFill>
      <xdr:spPr>
        <a:xfrm>
          <a:off x="13557885" y="46856650"/>
          <a:ext cx="342900" cy="217170"/>
        </a:xfrm>
        <a:prstGeom prst="rect">
          <a:avLst/>
        </a:prstGeom>
        <a:noFill/>
        <a:ln w="9525">
          <a:noFill/>
        </a:ln>
      </xdr:spPr>
    </xdr:pic>
  </etc:cellImage>
  <etc:cellImage>
    <xdr:pic>
      <xdr:nvPicPr>
        <xdr:cNvPr id="309" name="ID_F1ED1C426B89404799C5B2E347325D7E"/>
        <xdr:cNvPicPr>
          <a:picLocks noChangeAspect="1"/>
        </xdr:cNvPicPr>
      </xdr:nvPicPr>
      <xdr:blipFill>
        <a:blip r:embed="rId114" r:link="rId2"/>
        <a:stretch>
          <a:fillRect/>
        </a:stretch>
      </xdr:blipFill>
      <xdr:spPr>
        <a:xfrm>
          <a:off x="13557885" y="46475650"/>
          <a:ext cx="283210" cy="217170"/>
        </a:xfrm>
        <a:prstGeom prst="rect">
          <a:avLst/>
        </a:prstGeom>
        <a:noFill/>
        <a:ln w="9525">
          <a:noFill/>
        </a:ln>
      </xdr:spPr>
    </xdr:pic>
  </etc:cellImage>
  <etc:cellImage>
    <xdr:pic>
      <xdr:nvPicPr>
        <xdr:cNvPr id="310" name="ID_014EDCFFA2D844C192DC068E029AE4CD"/>
        <xdr:cNvPicPr>
          <a:picLocks noChangeAspect="1"/>
        </xdr:cNvPicPr>
      </xdr:nvPicPr>
      <xdr:blipFill>
        <a:blip r:embed="rId115" r:link="rId2"/>
        <a:stretch>
          <a:fillRect/>
        </a:stretch>
      </xdr:blipFill>
      <xdr:spPr>
        <a:xfrm>
          <a:off x="13557885" y="46094650"/>
          <a:ext cx="288290" cy="217170"/>
        </a:xfrm>
        <a:prstGeom prst="rect">
          <a:avLst/>
        </a:prstGeom>
        <a:noFill/>
        <a:ln w="9525">
          <a:noFill/>
        </a:ln>
      </xdr:spPr>
    </xdr:pic>
  </etc:cellImage>
  <etc:cellImage>
    <xdr:pic>
      <xdr:nvPicPr>
        <xdr:cNvPr id="311" name="ID_32B6224467F641CCA678F6D5ADB26DAA"/>
        <xdr:cNvPicPr>
          <a:picLocks noChangeAspect="1"/>
        </xdr:cNvPicPr>
      </xdr:nvPicPr>
      <xdr:blipFill>
        <a:blip r:embed="rId116" r:link="rId2"/>
        <a:stretch>
          <a:fillRect/>
        </a:stretch>
      </xdr:blipFill>
      <xdr:spPr>
        <a:xfrm>
          <a:off x="13557885" y="45713650"/>
          <a:ext cx="483870" cy="217170"/>
        </a:xfrm>
        <a:prstGeom prst="rect">
          <a:avLst/>
        </a:prstGeom>
        <a:noFill/>
        <a:ln w="9525">
          <a:noFill/>
        </a:ln>
      </xdr:spPr>
    </xdr:pic>
  </etc:cellImage>
  <etc:cellImage>
    <xdr:pic>
      <xdr:nvPicPr>
        <xdr:cNvPr id="312" name="ID_05E1DA1505184721882936F8B2CF859E"/>
        <xdr:cNvPicPr>
          <a:picLocks noChangeAspect="1"/>
        </xdr:cNvPicPr>
      </xdr:nvPicPr>
      <xdr:blipFill>
        <a:blip r:embed="rId117" r:link="rId2"/>
        <a:stretch>
          <a:fillRect/>
        </a:stretch>
      </xdr:blipFill>
      <xdr:spPr>
        <a:xfrm>
          <a:off x="13557885" y="45332650"/>
          <a:ext cx="288290" cy="217170"/>
        </a:xfrm>
        <a:prstGeom prst="rect">
          <a:avLst/>
        </a:prstGeom>
        <a:noFill/>
        <a:ln w="9525">
          <a:noFill/>
        </a:ln>
      </xdr:spPr>
    </xdr:pic>
  </etc:cellImage>
  <etc:cellImage>
    <xdr:pic>
      <xdr:nvPicPr>
        <xdr:cNvPr id="313" name="ID_67A5A10BE2D94EE585CD9A6B36F1FEB5"/>
        <xdr:cNvPicPr>
          <a:picLocks noChangeAspect="1"/>
        </xdr:cNvPicPr>
      </xdr:nvPicPr>
      <xdr:blipFill>
        <a:blip r:embed="rId118" r:link="rId2"/>
        <a:stretch>
          <a:fillRect/>
        </a:stretch>
      </xdr:blipFill>
      <xdr:spPr>
        <a:xfrm>
          <a:off x="13557885" y="44951650"/>
          <a:ext cx="397510" cy="217170"/>
        </a:xfrm>
        <a:prstGeom prst="rect">
          <a:avLst/>
        </a:prstGeom>
        <a:noFill/>
        <a:ln w="9525">
          <a:noFill/>
        </a:ln>
      </xdr:spPr>
    </xdr:pic>
  </etc:cellImage>
  <etc:cellImage>
    <xdr:pic>
      <xdr:nvPicPr>
        <xdr:cNvPr id="314" name="ID_CD3E56EDC4AA4290A16CE18B393DABEA"/>
        <xdr:cNvPicPr>
          <a:picLocks noChangeAspect="1"/>
        </xdr:cNvPicPr>
      </xdr:nvPicPr>
      <xdr:blipFill>
        <a:blip r:embed="rId119" r:link="rId2"/>
        <a:stretch>
          <a:fillRect/>
        </a:stretch>
      </xdr:blipFill>
      <xdr:spPr>
        <a:xfrm>
          <a:off x="13557885" y="47237650"/>
          <a:ext cx="478790" cy="217170"/>
        </a:xfrm>
        <a:prstGeom prst="rect">
          <a:avLst/>
        </a:prstGeom>
        <a:noFill/>
        <a:ln w="9525">
          <a:noFill/>
        </a:ln>
      </xdr:spPr>
    </xdr:pic>
  </etc:cellImage>
  <etc:cellImage>
    <xdr:pic>
      <xdr:nvPicPr>
        <xdr:cNvPr id="315" name="ID_0B32136935114C05A43636435171931E"/>
        <xdr:cNvPicPr/>
      </xdr:nvPicPr>
      <xdr:blipFill>
        <a:blip r:embed="rId120" r:link="rId2"/>
        <a:stretch>
          <a:fillRect/>
        </a:stretch>
      </xdr:blipFill>
      <xdr:spPr>
        <a:xfrm>
          <a:off x="13738225" y="47708185"/>
          <a:ext cx="550545" cy="281940"/>
        </a:xfrm>
        <a:prstGeom prst="rect">
          <a:avLst/>
        </a:prstGeom>
        <a:noFill/>
        <a:ln w="9525">
          <a:noFill/>
        </a:ln>
      </xdr:spPr>
    </xdr:pic>
  </etc:cellImage>
  <etc:cellImage>
    <xdr:pic>
      <xdr:nvPicPr>
        <xdr:cNvPr id="316" name="ID_834E695137D140089BCC10E679785AF6"/>
        <xdr:cNvPicPr>
          <a:picLocks noChangeAspect="1"/>
        </xdr:cNvPicPr>
      </xdr:nvPicPr>
      <xdr:blipFill>
        <a:blip r:embed="rId121" r:link="rId2"/>
        <a:stretch>
          <a:fillRect/>
        </a:stretch>
      </xdr:blipFill>
      <xdr:spPr>
        <a:xfrm>
          <a:off x="13557885" y="49142650"/>
          <a:ext cx="392430" cy="217170"/>
        </a:xfrm>
        <a:prstGeom prst="rect">
          <a:avLst/>
        </a:prstGeom>
        <a:noFill/>
        <a:ln w="9525">
          <a:noFill/>
        </a:ln>
      </xdr:spPr>
    </xdr:pic>
  </etc:cellImage>
  <etc:cellImage>
    <xdr:pic>
      <xdr:nvPicPr>
        <xdr:cNvPr id="317" name="ID_6F52D634E07148B593CEE84254D5B55F"/>
        <xdr:cNvPicPr>
          <a:picLocks noChangeAspect="1"/>
        </xdr:cNvPicPr>
      </xdr:nvPicPr>
      <xdr:blipFill>
        <a:blip r:embed="rId122" r:link="rId2"/>
        <a:stretch>
          <a:fillRect/>
        </a:stretch>
      </xdr:blipFill>
      <xdr:spPr>
        <a:xfrm>
          <a:off x="13557885" y="48761650"/>
          <a:ext cx="402590" cy="190500"/>
        </a:xfrm>
        <a:prstGeom prst="rect">
          <a:avLst/>
        </a:prstGeom>
        <a:noFill/>
        <a:ln w="9525">
          <a:noFill/>
        </a:ln>
      </xdr:spPr>
    </xdr:pic>
  </etc:cellImage>
  <etc:cellImage>
    <xdr:pic>
      <xdr:nvPicPr>
        <xdr:cNvPr id="318" name="ID_8BCBBEDE58EB4BCDA47C8E43B9BBD399"/>
        <xdr:cNvPicPr>
          <a:picLocks noChangeAspect="1"/>
        </xdr:cNvPicPr>
      </xdr:nvPicPr>
      <xdr:blipFill>
        <a:blip r:embed="rId123" r:link="rId2"/>
        <a:stretch>
          <a:fillRect/>
        </a:stretch>
      </xdr:blipFill>
      <xdr:spPr>
        <a:xfrm>
          <a:off x="13557885" y="47999650"/>
          <a:ext cx="588010" cy="168910"/>
        </a:xfrm>
        <a:prstGeom prst="rect">
          <a:avLst/>
        </a:prstGeom>
        <a:noFill/>
        <a:ln w="9525">
          <a:noFill/>
        </a:ln>
      </xdr:spPr>
    </xdr:pic>
  </etc:cellImage>
  <etc:cellImage>
    <xdr:pic>
      <xdr:nvPicPr>
        <xdr:cNvPr id="319" name="ID_97041EC4336E4DFFA0842892CEEBB625"/>
        <xdr:cNvPicPr>
          <a:picLocks noChangeAspect="1"/>
        </xdr:cNvPicPr>
      </xdr:nvPicPr>
      <xdr:blipFill>
        <a:blip r:embed="rId124" r:link="rId2"/>
        <a:stretch>
          <a:fillRect/>
        </a:stretch>
      </xdr:blipFill>
      <xdr:spPr>
        <a:xfrm>
          <a:off x="13557885" y="48380650"/>
          <a:ext cx="419100" cy="217170"/>
        </a:xfrm>
        <a:prstGeom prst="rect">
          <a:avLst/>
        </a:prstGeom>
        <a:noFill/>
        <a:ln w="9525">
          <a:noFill/>
        </a:ln>
      </xdr:spPr>
    </xdr:pic>
  </etc:cellImage>
  <etc:cellImage>
    <xdr:pic>
      <xdr:nvPicPr>
        <xdr:cNvPr id="320" name="ID_3AC61EBA796C421E9122E743B2D2CA5A"/>
        <xdr:cNvPicPr>
          <a:picLocks noChangeAspect="1"/>
        </xdr:cNvPicPr>
      </xdr:nvPicPr>
      <xdr:blipFill>
        <a:blip r:embed="rId125" r:link="rId2"/>
        <a:stretch>
          <a:fillRect/>
        </a:stretch>
      </xdr:blipFill>
      <xdr:spPr>
        <a:xfrm>
          <a:off x="13557885" y="50666650"/>
          <a:ext cx="354330" cy="217170"/>
        </a:xfrm>
        <a:prstGeom prst="rect">
          <a:avLst/>
        </a:prstGeom>
        <a:noFill/>
        <a:ln w="9525">
          <a:noFill/>
        </a:ln>
      </xdr:spPr>
    </xdr:pic>
  </etc:cellImage>
  <etc:cellImage>
    <xdr:pic>
      <xdr:nvPicPr>
        <xdr:cNvPr id="321" name="ID_6B1D743D192B4931A070D23A4B692881"/>
        <xdr:cNvPicPr>
          <a:picLocks noChangeAspect="1"/>
        </xdr:cNvPicPr>
      </xdr:nvPicPr>
      <xdr:blipFill>
        <a:blip r:embed="rId126" r:link="rId2"/>
        <a:stretch>
          <a:fillRect/>
        </a:stretch>
      </xdr:blipFill>
      <xdr:spPr>
        <a:xfrm>
          <a:off x="13557885" y="50285650"/>
          <a:ext cx="457200" cy="217170"/>
        </a:xfrm>
        <a:prstGeom prst="rect">
          <a:avLst/>
        </a:prstGeom>
        <a:noFill/>
        <a:ln w="9525">
          <a:noFill/>
        </a:ln>
      </xdr:spPr>
    </xdr:pic>
  </etc:cellImage>
  <etc:cellImage>
    <xdr:pic>
      <xdr:nvPicPr>
        <xdr:cNvPr id="322" name="ID_8EBB7600C91D40EBBE2509E8CBE2077B"/>
        <xdr:cNvPicPr>
          <a:picLocks noChangeAspect="1"/>
        </xdr:cNvPicPr>
      </xdr:nvPicPr>
      <xdr:blipFill>
        <a:blip r:embed="rId127" r:link="rId2"/>
        <a:stretch>
          <a:fillRect/>
        </a:stretch>
      </xdr:blipFill>
      <xdr:spPr>
        <a:xfrm>
          <a:off x="13557885" y="49904650"/>
          <a:ext cx="528320" cy="217170"/>
        </a:xfrm>
        <a:prstGeom prst="rect">
          <a:avLst/>
        </a:prstGeom>
        <a:noFill/>
        <a:ln w="9525">
          <a:noFill/>
        </a:ln>
      </xdr:spPr>
    </xdr:pic>
  </etc:cellImage>
  <etc:cellImage>
    <xdr:pic>
      <xdr:nvPicPr>
        <xdr:cNvPr id="323" name="ID_9C1F97DF6C4D4952837F3E3F3973CB0A"/>
        <xdr:cNvPicPr>
          <a:picLocks noChangeAspect="1"/>
        </xdr:cNvPicPr>
      </xdr:nvPicPr>
      <xdr:blipFill>
        <a:blip r:embed="rId128" r:link="rId2"/>
        <a:stretch>
          <a:fillRect/>
        </a:stretch>
      </xdr:blipFill>
      <xdr:spPr>
        <a:xfrm>
          <a:off x="13557885" y="49523650"/>
          <a:ext cx="386080" cy="217170"/>
        </a:xfrm>
        <a:prstGeom prst="rect">
          <a:avLst/>
        </a:prstGeom>
        <a:noFill/>
        <a:ln w="9525">
          <a:noFill/>
        </a:ln>
      </xdr:spPr>
    </xdr:pic>
  </etc:cellImage>
  <etc:cellImage>
    <xdr:pic>
      <xdr:nvPicPr>
        <xdr:cNvPr id="324" name="ID_683757A20CF244E487B6566AD972BF0D"/>
        <xdr:cNvPicPr>
          <a:picLocks noChangeAspect="1"/>
        </xdr:cNvPicPr>
      </xdr:nvPicPr>
      <xdr:blipFill>
        <a:blip r:embed="rId129" r:link="rId2"/>
        <a:stretch>
          <a:fillRect/>
        </a:stretch>
      </xdr:blipFill>
      <xdr:spPr>
        <a:xfrm>
          <a:off x="13557885" y="52952650"/>
          <a:ext cx="299720" cy="217170"/>
        </a:xfrm>
        <a:prstGeom prst="rect">
          <a:avLst/>
        </a:prstGeom>
        <a:noFill/>
        <a:ln w="9525">
          <a:noFill/>
        </a:ln>
      </xdr:spPr>
    </xdr:pic>
  </etc:cellImage>
  <etc:cellImage>
    <xdr:pic>
      <xdr:nvPicPr>
        <xdr:cNvPr id="325" name="ID_DCA1B280B89C43D3938A8CF1746FD163"/>
        <xdr:cNvPicPr>
          <a:picLocks noChangeAspect="1"/>
        </xdr:cNvPicPr>
      </xdr:nvPicPr>
      <xdr:blipFill>
        <a:blip r:embed="rId130" r:link="rId2"/>
        <a:stretch>
          <a:fillRect/>
        </a:stretch>
      </xdr:blipFill>
      <xdr:spPr>
        <a:xfrm>
          <a:off x="13557885" y="52571650"/>
          <a:ext cx="347980" cy="217170"/>
        </a:xfrm>
        <a:prstGeom prst="rect">
          <a:avLst/>
        </a:prstGeom>
        <a:noFill/>
        <a:ln w="9525">
          <a:noFill/>
        </a:ln>
      </xdr:spPr>
    </xdr:pic>
  </etc:cellImage>
  <etc:cellImage>
    <xdr:pic>
      <xdr:nvPicPr>
        <xdr:cNvPr id="326" name="ID_9E1CFBB528B546C9846D8AD12FBDCB51"/>
        <xdr:cNvPicPr>
          <a:picLocks noChangeAspect="1"/>
        </xdr:cNvPicPr>
      </xdr:nvPicPr>
      <xdr:blipFill>
        <a:blip r:embed="rId131" r:link="rId2"/>
        <a:stretch>
          <a:fillRect/>
        </a:stretch>
      </xdr:blipFill>
      <xdr:spPr>
        <a:xfrm>
          <a:off x="13557885" y="52190650"/>
          <a:ext cx="419100" cy="217170"/>
        </a:xfrm>
        <a:prstGeom prst="rect">
          <a:avLst/>
        </a:prstGeom>
        <a:noFill/>
        <a:ln w="9525">
          <a:noFill/>
        </a:ln>
      </xdr:spPr>
    </xdr:pic>
  </etc:cellImage>
  <etc:cellImage>
    <xdr:pic>
      <xdr:nvPicPr>
        <xdr:cNvPr id="328" name="ID_699949D1967A4F77AEBF54D184EF87B0"/>
        <xdr:cNvPicPr>
          <a:picLocks noChangeAspect="1"/>
        </xdr:cNvPicPr>
      </xdr:nvPicPr>
      <xdr:blipFill>
        <a:blip r:embed="rId132" r:link="rId2"/>
        <a:stretch>
          <a:fillRect/>
        </a:stretch>
      </xdr:blipFill>
      <xdr:spPr>
        <a:xfrm>
          <a:off x="13557885" y="51428650"/>
          <a:ext cx="419100" cy="212090"/>
        </a:xfrm>
        <a:prstGeom prst="rect">
          <a:avLst/>
        </a:prstGeom>
        <a:noFill/>
        <a:ln w="9525">
          <a:noFill/>
        </a:ln>
      </xdr:spPr>
    </xdr:pic>
  </etc:cellImage>
  <etc:cellImage>
    <xdr:pic>
      <xdr:nvPicPr>
        <xdr:cNvPr id="329" name="ID_8E9C88800D8C47CC9A232867E5FF1A9F"/>
        <xdr:cNvPicPr>
          <a:picLocks noChangeAspect="1"/>
        </xdr:cNvPicPr>
      </xdr:nvPicPr>
      <xdr:blipFill>
        <a:blip r:embed="rId133" r:link="rId2"/>
        <a:stretch>
          <a:fillRect/>
        </a:stretch>
      </xdr:blipFill>
      <xdr:spPr>
        <a:xfrm>
          <a:off x="13557885" y="51047650"/>
          <a:ext cx="347980" cy="217170"/>
        </a:xfrm>
        <a:prstGeom prst="rect">
          <a:avLst/>
        </a:prstGeom>
        <a:noFill/>
        <a:ln w="9525">
          <a:noFill/>
        </a:ln>
      </xdr:spPr>
    </xdr:pic>
  </etc:cellImage>
  <etc:cellImage>
    <xdr:pic>
      <xdr:nvPicPr>
        <xdr:cNvPr id="330" name="ID_68BACA8D9B8E4B9D9C4ACC780415ABB8"/>
        <xdr:cNvPicPr>
          <a:picLocks noChangeAspect="1"/>
        </xdr:cNvPicPr>
      </xdr:nvPicPr>
      <xdr:blipFill>
        <a:blip r:embed="rId134" r:link="rId2"/>
        <a:stretch>
          <a:fillRect/>
        </a:stretch>
      </xdr:blipFill>
      <xdr:spPr>
        <a:xfrm>
          <a:off x="13557885" y="51809650"/>
          <a:ext cx="407670" cy="217170"/>
        </a:xfrm>
        <a:prstGeom prst="rect">
          <a:avLst/>
        </a:prstGeom>
        <a:noFill/>
        <a:ln w="9525">
          <a:noFill/>
        </a:ln>
      </xdr:spPr>
    </xdr:pic>
  </etc:cellImage>
  <etc:cellImage>
    <xdr:pic>
      <xdr:nvPicPr>
        <xdr:cNvPr id="331" name="ID_DDDA7A847897425EB777932C717C0393"/>
        <xdr:cNvPicPr>
          <a:picLocks noChangeAspect="1"/>
        </xdr:cNvPicPr>
      </xdr:nvPicPr>
      <xdr:blipFill>
        <a:blip r:embed="rId135" r:link="rId2"/>
        <a:stretch>
          <a:fillRect/>
        </a:stretch>
      </xdr:blipFill>
      <xdr:spPr>
        <a:xfrm>
          <a:off x="13557885" y="55619650"/>
          <a:ext cx="288290" cy="217170"/>
        </a:xfrm>
        <a:prstGeom prst="rect">
          <a:avLst/>
        </a:prstGeom>
        <a:noFill/>
        <a:ln w="9525">
          <a:noFill/>
        </a:ln>
      </xdr:spPr>
    </xdr:pic>
  </etc:cellImage>
  <etc:cellImage>
    <xdr:pic>
      <xdr:nvPicPr>
        <xdr:cNvPr id="332" name="ID_62F92E6F209F4331B36FC44E51530656"/>
        <xdr:cNvPicPr>
          <a:picLocks noChangeAspect="1"/>
        </xdr:cNvPicPr>
      </xdr:nvPicPr>
      <xdr:blipFill>
        <a:blip r:embed="rId136" r:link="rId2"/>
        <a:stretch>
          <a:fillRect/>
        </a:stretch>
      </xdr:blipFill>
      <xdr:spPr>
        <a:xfrm>
          <a:off x="13557885" y="55238650"/>
          <a:ext cx="381000" cy="217170"/>
        </a:xfrm>
        <a:prstGeom prst="rect">
          <a:avLst/>
        </a:prstGeom>
        <a:noFill/>
        <a:ln w="9525">
          <a:noFill/>
        </a:ln>
      </xdr:spPr>
    </xdr:pic>
  </etc:cellImage>
  <etc:cellImage>
    <xdr:pic>
      <xdr:nvPicPr>
        <xdr:cNvPr id="333" name="ID_2836EB2365FB48C5A55B903EE90E34BB"/>
        <xdr:cNvPicPr>
          <a:picLocks noChangeAspect="1"/>
        </xdr:cNvPicPr>
      </xdr:nvPicPr>
      <xdr:blipFill>
        <a:blip r:embed="rId137" r:link="rId2"/>
        <a:stretch>
          <a:fillRect/>
        </a:stretch>
      </xdr:blipFill>
      <xdr:spPr>
        <a:xfrm>
          <a:off x="13557885" y="54857650"/>
          <a:ext cx="435610" cy="217170"/>
        </a:xfrm>
        <a:prstGeom prst="rect">
          <a:avLst/>
        </a:prstGeom>
        <a:noFill/>
        <a:ln w="9525">
          <a:noFill/>
        </a:ln>
      </xdr:spPr>
    </xdr:pic>
  </etc:cellImage>
  <etc:cellImage>
    <xdr:pic>
      <xdr:nvPicPr>
        <xdr:cNvPr id="334" name="ID_F6F7A05DA5634584A6585A4B08C87D4B"/>
        <xdr:cNvPicPr>
          <a:picLocks noChangeAspect="1"/>
        </xdr:cNvPicPr>
      </xdr:nvPicPr>
      <xdr:blipFill>
        <a:blip r:embed="rId138" r:link="rId2"/>
        <a:stretch>
          <a:fillRect/>
        </a:stretch>
      </xdr:blipFill>
      <xdr:spPr>
        <a:xfrm>
          <a:off x="13557885" y="54476650"/>
          <a:ext cx="424180" cy="207010"/>
        </a:xfrm>
        <a:prstGeom prst="rect">
          <a:avLst/>
        </a:prstGeom>
        <a:noFill/>
        <a:ln w="9525">
          <a:noFill/>
        </a:ln>
      </xdr:spPr>
    </xdr:pic>
  </etc:cellImage>
  <etc:cellImage>
    <xdr:pic>
      <xdr:nvPicPr>
        <xdr:cNvPr id="335" name="ID_C7D2FDFC9359478BAD756DFB4878C8B6"/>
        <xdr:cNvPicPr>
          <a:picLocks noChangeAspect="1"/>
        </xdr:cNvPicPr>
      </xdr:nvPicPr>
      <xdr:blipFill>
        <a:blip r:embed="rId139" r:link="rId2"/>
        <a:stretch>
          <a:fillRect/>
        </a:stretch>
      </xdr:blipFill>
      <xdr:spPr>
        <a:xfrm>
          <a:off x="13557885" y="54095650"/>
          <a:ext cx="381000" cy="173990"/>
        </a:xfrm>
        <a:prstGeom prst="rect">
          <a:avLst/>
        </a:prstGeom>
        <a:noFill/>
        <a:ln w="9525">
          <a:noFill/>
        </a:ln>
      </xdr:spPr>
    </xdr:pic>
  </etc:cellImage>
  <etc:cellImage>
    <xdr:pic>
      <xdr:nvPicPr>
        <xdr:cNvPr id="336" name="ID_C0056C45CAB2420FBB5F0958A4E0922A"/>
        <xdr:cNvPicPr>
          <a:picLocks noChangeAspect="1"/>
        </xdr:cNvPicPr>
      </xdr:nvPicPr>
      <xdr:blipFill>
        <a:blip r:embed="rId140" r:link="rId2"/>
        <a:stretch>
          <a:fillRect/>
        </a:stretch>
      </xdr:blipFill>
      <xdr:spPr>
        <a:xfrm>
          <a:off x="13557885" y="53714650"/>
          <a:ext cx="354330" cy="217170"/>
        </a:xfrm>
        <a:prstGeom prst="rect">
          <a:avLst/>
        </a:prstGeom>
        <a:noFill/>
        <a:ln w="9525">
          <a:noFill/>
        </a:ln>
      </xdr:spPr>
    </xdr:pic>
  </etc:cellImage>
  <etc:cellImage>
    <xdr:pic>
      <xdr:nvPicPr>
        <xdr:cNvPr id="337" name="ID_299219D91A8A4FC994500B5D2F1DF674"/>
        <xdr:cNvPicPr>
          <a:picLocks noChangeAspect="1"/>
        </xdr:cNvPicPr>
      </xdr:nvPicPr>
      <xdr:blipFill>
        <a:blip r:embed="rId141" r:link="rId2"/>
        <a:stretch>
          <a:fillRect/>
        </a:stretch>
      </xdr:blipFill>
      <xdr:spPr>
        <a:xfrm>
          <a:off x="13557885" y="53333650"/>
          <a:ext cx="316230" cy="217170"/>
        </a:xfrm>
        <a:prstGeom prst="rect">
          <a:avLst/>
        </a:prstGeom>
        <a:noFill/>
        <a:ln w="9525">
          <a:noFill/>
        </a:ln>
      </xdr:spPr>
    </xdr:pic>
  </etc:cellImage>
  <etc:cellImage>
    <xdr:pic>
      <xdr:nvPicPr>
        <xdr:cNvPr id="338" name="ID_71C70DCD14394BBDA07BD7D9A5E6D41A"/>
        <xdr:cNvPicPr>
          <a:picLocks noChangeAspect="1"/>
        </xdr:cNvPicPr>
      </xdr:nvPicPr>
      <xdr:blipFill>
        <a:blip r:embed="rId142" r:link="rId2"/>
        <a:stretch>
          <a:fillRect/>
        </a:stretch>
      </xdr:blipFill>
      <xdr:spPr>
        <a:xfrm>
          <a:off x="13557885" y="57905650"/>
          <a:ext cx="271780" cy="217170"/>
        </a:xfrm>
        <a:prstGeom prst="rect">
          <a:avLst/>
        </a:prstGeom>
        <a:noFill/>
        <a:ln w="9525">
          <a:noFill/>
        </a:ln>
      </xdr:spPr>
    </xdr:pic>
  </etc:cellImage>
  <etc:cellImage>
    <xdr:pic>
      <xdr:nvPicPr>
        <xdr:cNvPr id="339" name="ID_B74A07A0103141FC864C8B7038870043"/>
        <xdr:cNvPicPr>
          <a:picLocks noChangeAspect="1"/>
        </xdr:cNvPicPr>
      </xdr:nvPicPr>
      <xdr:blipFill>
        <a:blip r:embed="rId143" r:link="rId2"/>
        <a:stretch>
          <a:fillRect/>
        </a:stretch>
      </xdr:blipFill>
      <xdr:spPr>
        <a:xfrm>
          <a:off x="13557885" y="57524650"/>
          <a:ext cx="217170" cy="217170"/>
        </a:xfrm>
        <a:prstGeom prst="rect">
          <a:avLst/>
        </a:prstGeom>
        <a:noFill/>
        <a:ln w="9525">
          <a:noFill/>
        </a:ln>
      </xdr:spPr>
    </xdr:pic>
  </etc:cellImage>
  <etc:cellImage>
    <xdr:pic>
      <xdr:nvPicPr>
        <xdr:cNvPr id="340" name="ID_F74ADF78E659410FB00BEF122F9527E5"/>
        <xdr:cNvPicPr>
          <a:picLocks noChangeAspect="1"/>
        </xdr:cNvPicPr>
      </xdr:nvPicPr>
      <xdr:blipFill>
        <a:blip r:embed="rId144" r:link="rId2"/>
        <a:stretch>
          <a:fillRect/>
        </a:stretch>
      </xdr:blipFill>
      <xdr:spPr>
        <a:xfrm>
          <a:off x="13557885" y="57143650"/>
          <a:ext cx="440690" cy="195580"/>
        </a:xfrm>
        <a:prstGeom prst="rect">
          <a:avLst/>
        </a:prstGeom>
        <a:noFill/>
        <a:ln w="9525">
          <a:noFill/>
        </a:ln>
      </xdr:spPr>
    </xdr:pic>
  </etc:cellImage>
  <etc:cellImage>
    <xdr:pic>
      <xdr:nvPicPr>
        <xdr:cNvPr id="341" name="ID_90B9B28B007741BA8CAC3FB908965332"/>
        <xdr:cNvPicPr>
          <a:picLocks noChangeAspect="1"/>
        </xdr:cNvPicPr>
      </xdr:nvPicPr>
      <xdr:blipFill>
        <a:blip r:embed="rId145" r:link="rId2"/>
        <a:stretch>
          <a:fillRect/>
        </a:stretch>
      </xdr:blipFill>
      <xdr:spPr>
        <a:xfrm>
          <a:off x="13557885" y="56762650"/>
          <a:ext cx="430530" cy="212090"/>
        </a:xfrm>
        <a:prstGeom prst="rect">
          <a:avLst/>
        </a:prstGeom>
        <a:noFill/>
        <a:ln w="9525">
          <a:noFill/>
        </a:ln>
      </xdr:spPr>
    </xdr:pic>
  </etc:cellImage>
  <etc:cellImage>
    <xdr:pic>
      <xdr:nvPicPr>
        <xdr:cNvPr id="342" name="ID_6E8A48B82FAD45FA8BF1B3E5430576D1"/>
        <xdr:cNvPicPr>
          <a:picLocks noChangeAspect="1"/>
        </xdr:cNvPicPr>
      </xdr:nvPicPr>
      <xdr:blipFill>
        <a:blip r:embed="rId146" r:link="rId2"/>
        <a:stretch>
          <a:fillRect/>
        </a:stretch>
      </xdr:blipFill>
      <xdr:spPr>
        <a:xfrm>
          <a:off x="13557885" y="56381650"/>
          <a:ext cx="326390" cy="217170"/>
        </a:xfrm>
        <a:prstGeom prst="rect">
          <a:avLst/>
        </a:prstGeom>
        <a:noFill/>
        <a:ln w="9525">
          <a:noFill/>
        </a:ln>
      </xdr:spPr>
    </xdr:pic>
  </etc:cellImage>
  <etc:cellImage>
    <xdr:pic>
      <xdr:nvPicPr>
        <xdr:cNvPr id="343" name="ID_ACE6D4756C1A42E8A62ACDB6029E7727"/>
        <xdr:cNvPicPr>
          <a:picLocks noChangeAspect="1"/>
        </xdr:cNvPicPr>
      </xdr:nvPicPr>
      <xdr:blipFill>
        <a:blip r:embed="rId147" r:link="rId2"/>
        <a:stretch>
          <a:fillRect/>
        </a:stretch>
      </xdr:blipFill>
      <xdr:spPr>
        <a:xfrm>
          <a:off x="13557885" y="56000650"/>
          <a:ext cx="288290" cy="217170"/>
        </a:xfrm>
        <a:prstGeom prst="rect">
          <a:avLst/>
        </a:prstGeom>
        <a:noFill/>
        <a:ln w="9525">
          <a:noFill/>
        </a:ln>
      </xdr:spPr>
    </xdr:pic>
  </etc:cellImage>
  <etc:cellImage>
    <xdr:pic>
      <xdr:nvPicPr>
        <xdr:cNvPr id="344" name="ID_C438CF61CC024A2FA7E346CDF6E6B1F7"/>
        <xdr:cNvPicPr>
          <a:picLocks noChangeAspect="1"/>
        </xdr:cNvPicPr>
      </xdr:nvPicPr>
      <xdr:blipFill>
        <a:blip r:embed="rId148" r:link="rId2"/>
        <a:stretch>
          <a:fillRect/>
        </a:stretch>
      </xdr:blipFill>
      <xdr:spPr>
        <a:xfrm>
          <a:off x="13557885" y="60191650"/>
          <a:ext cx="381000" cy="217170"/>
        </a:xfrm>
        <a:prstGeom prst="rect">
          <a:avLst/>
        </a:prstGeom>
        <a:noFill/>
        <a:ln w="9525">
          <a:noFill/>
        </a:ln>
      </xdr:spPr>
    </xdr:pic>
  </etc:cellImage>
  <etc:cellImage>
    <xdr:pic>
      <xdr:nvPicPr>
        <xdr:cNvPr id="345" name="ID_84EE5AD21811448BA820D0739FC980F6"/>
        <xdr:cNvPicPr>
          <a:picLocks noChangeAspect="1"/>
        </xdr:cNvPicPr>
      </xdr:nvPicPr>
      <xdr:blipFill>
        <a:blip r:embed="rId149" r:link="rId2"/>
        <a:stretch>
          <a:fillRect/>
        </a:stretch>
      </xdr:blipFill>
      <xdr:spPr>
        <a:xfrm>
          <a:off x="13557885" y="59810650"/>
          <a:ext cx="354330" cy="173990"/>
        </a:xfrm>
        <a:prstGeom prst="rect">
          <a:avLst/>
        </a:prstGeom>
        <a:noFill/>
        <a:ln w="9525">
          <a:noFill/>
        </a:ln>
      </xdr:spPr>
    </xdr:pic>
  </etc:cellImage>
  <etc:cellImage>
    <xdr:pic>
      <xdr:nvPicPr>
        <xdr:cNvPr id="346" name="ID_5E591CF41BE34AE2B7D16AFB33A56CD6"/>
        <xdr:cNvPicPr>
          <a:picLocks noChangeAspect="1"/>
        </xdr:cNvPicPr>
      </xdr:nvPicPr>
      <xdr:blipFill>
        <a:blip r:embed="rId150" r:link="rId2"/>
        <a:stretch>
          <a:fillRect/>
        </a:stretch>
      </xdr:blipFill>
      <xdr:spPr>
        <a:xfrm>
          <a:off x="13557885" y="59429650"/>
          <a:ext cx="386080" cy="195580"/>
        </a:xfrm>
        <a:prstGeom prst="rect">
          <a:avLst/>
        </a:prstGeom>
        <a:noFill/>
        <a:ln w="9525">
          <a:noFill/>
        </a:ln>
      </xdr:spPr>
    </xdr:pic>
  </etc:cellImage>
  <etc:cellImage>
    <xdr:pic>
      <xdr:nvPicPr>
        <xdr:cNvPr id="347" name="ID_B64F6F61EED545479642DCA2AB2270DF"/>
        <xdr:cNvPicPr>
          <a:picLocks noChangeAspect="1"/>
        </xdr:cNvPicPr>
      </xdr:nvPicPr>
      <xdr:blipFill>
        <a:blip r:embed="rId151" r:link="rId2"/>
        <a:stretch>
          <a:fillRect/>
        </a:stretch>
      </xdr:blipFill>
      <xdr:spPr>
        <a:xfrm>
          <a:off x="13557885" y="58667650"/>
          <a:ext cx="435610" cy="217170"/>
        </a:xfrm>
        <a:prstGeom prst="rect">
          <a:avLst/>
        </a:prstGeom>
        <a:noFill/>
        <a:ln w="9525">
          <a:noFill/>
        </a:ln>
      </xdr:spPr>
    </xdr:pic>
  </etc:cellImage>
  <etc:cellImage>
    <xdr:pic>
      <xdr:nvPicPr>
        <xdr:cNvPr id="348" name="ID_279C57439A584415B077F4C890DF6E28"/>
        <xdr:cNvPicPr>
          <a:picLocks noChangeAspect="1"/>
        </xdr:cNvPicPr>
      </xdr:nvPicPr>
      <xdr:blipFill>
        <a:blip r:embed="rId152" r:link="rId2"/>
        <a:stretch>
          <a:fillRect/>
        </a:stretch>
      </xdr:blipFill>
      <xdr:spPr>
        <a:xfrm>
          <a:off x="13557885" y="58286650"/>
          <a:ext cx="495300" cy="217170"/>
        </a:xfrm>
        <a:prstGeom prst="rect">
          <a:avLst/>
        </a:prstGeom>
        <a:noFill/>
        <a:ln w="9525">
          <a:noFill/>
        </a:ln>
      </xdr:spPr>
    </xdr:pic>
  </etc:cellImage>
  <etc:cellImage>
    <xdr:pic>
      <xdr:nvPicPr>
        <xdr:cNvPr id="349" name="ID_91E52A1D90904F4DBBA2995715A7F88D"/>
        <xdr:cNvPicPr>
          <a:picLocks noChangeAspect="1"/>
        </xdr:cNvPicPr>
      </xdr:nvPicPr>
      <xdr:blipFill>
        <a:blip r:embed="rId153" r:link="rId2"/>
        <a:stretch>
          <a:fillRect/>
        </a:stretch>
      </xdr:blipFill>
      <xdr:spPr>
        <a:xfrm>
          <a:off x="13557885" y="4565650"/>
          <a:ext cx="364490" cy="217170"/>
        </a:xfrm>
        <a:prstGeom prst="rect">
          <a:avLst/>
        </a:prstGeom>
        <a:noFill/>
        <a:ln w="9525">
          <a:noFill/>
        </a:ln>
      </xdr:spPr>
    </xdr:pic>
  </etc:cellImage>
  <etc:cellImage>
    <xdr:pic>
      <xdr:nvPicPr>
        <xdr:cNvPr id="351" name="ID_FA7DCD9E0FCF4766BC752710075E8685"/>
        <xdr:cNvPicPr>
          <a:picLocks noChangeAspect="1"/>
        </xdr:cNvPicPr>
      </xdr:nvPicPr>
      <xdr:blipFill>
        <a:blip r:embed="rId154" r:link="rId2"/>
        <a:stretch>
          <a:fillRect/>
        </a:stretch>
      </xdr:blipFill>
      <xdr:spPr>
        <a:xfrm>
          <a:off x="15440025" y="30326965"/>
          <a:ext cx="549910" cy="283210"/>
        </a:xfrm>
        <a:prstGeom prst="rect">
          <a:avLst/>
        </a:prstGeom>
        <a:noFill/>
        <a:ln w="9525">
          <a:noFill/>
        </a:ln>
      </xdr:spPr>
    </xdr:pic>
  </etc:cellImage>
  <etc:cellImage>
    <xdr:pic>
      <xdr:nvPicPr>
        <xdr:cNvPr id="352" name="ID_7450C870FD8D4066BC3A8EEF5A09FD68"/>
        <xdr:cNvPicPr>
          <a:picLocks noChangeAspect="1"/>
        </xdr:cNvPicPr>
      </xdr:nvPicPr>
      <xdr:blipFill>
        <a:blip r:embed="rId155" r:link="rId2"/>
        <a:stretch>
          <a:fillRect/>
        </a:stretch>
      </xdr:blipFill>
      <xdr:spPr>
        <a:xfrm>
          <a:off x="18557240" y="40613965"/>
          <a:ext cx="261620" cy="217170"/>
        </a:xfrm>
        <a:prstGeom prst="rect">
          <a:avLst/>
        </a:prstGeom>
        <a:noFill/>
        <a:ln w="9525">
          <a:noFill/>
        </a:ln>
      </xdr:spPr>
    </xdr:pic>
  </etc:cellImage>
  <etc:cellImage>
    <xdr:pic>
      <xdr:nvPicPr>
        <xdr:cNvPr id="353" name="ID_500ED8D9C99243A3AFCEBCFC46B75CC6"/>
        <xdr:cNvPicPr>
          <a:picLocks noChangeAspect="1"/>
        </xdr:cNvPicPr>
      </xdr:nvPicPr>
      <xdr:blipFill>
        <a:blip r:embed="rId156" r:link="rId2"/>
        <a:stretch>
          <a:fillRect/>
        </a:stretch>
      </xdr:blipFill>
      <xdr:spPr>
        <a:xfrm>
          <a:off x="13557885" y="43046650"/>
          <a:ext cx="435610" cy="228600"/>
        </a:xfrm>
        <a:prstGeom prst="rect">
          <a:avLst/>
        </a:prstGeom>
        <a:noFill/>
        <a:ln w="9525">
          <a:noFill/>
        </a:ln>
      </xdr:spPr>
    </xdr:pic>
  </etc:cellImage>
  <etc:cellImage>
    <xdr:pic>
      <xdr:nvPicPr>
        <xdr:cNvPr id="354" name="ID_BBF7E13BF54F45FABF255710FA4537C1"/>
        <xdr:cNvPicPr>
          <a:picLocks noChangeAspect="1"/>
        </xdr:cNvPicPr>
      </xdr:nvPicPr>
      <xdr:blipFill>
        <a:blip r:embed="rId157" r:link="rId2"/>
        <a:stretch>
          <a:fillRect/>
        </a:stretch>
      </xdr:blipFill>
      <xdr:spPr>
        <a:xfrm>
          <a:off x="18557240" y="44804965"/>
          <a:ext cx="386080" cy="217170"/>
        </a:xfrm>
        <a:prstGeom prst="rect">
          <a:avLst/>
        </a:prstGeom>
        <a:noFill/>
        <a:ln w="9525">
          <a:noFill/>
        </a:ln>
      </xdr:spPr>
    </xdr:pic>
  </etc:cellImage>
  <etc:cellImage>
    <xdr:pic>
      <xdr:nvPicPr>
        <xdr:cNvPr id="2" name="ID_22322D0B20874A2595052F55315A3613"/>
        <xdr:cNvPicPr>
          <a:picLocks noChangeAspect="1"/>
        </xdr:cNvPicPr>
      </xdr:nvPicPr>
      <xdr:blipFill>
        <a:blip r:embed="rId158"/>
        <a:stretch>
          <a:fillRect/>
        </a:stretch>
      </xdr:blipFill>
      <xdr:spPr>
        <a:xfrm>
          <a:off x="14189710" y="59055000"/>
          <a:ext cx="676275" cy="352425"/>
        </a:xfrm>
        <a:prstGeom prst="rect">
          <a:avLst/>
        </a:prstGeom>
        <a:noFill/>
        <a:ln w="9525">
          <a:noFill/>
        </a:ln>
      </xdr:spPr>
    </xdr:pic>
  </etc:cellImage>
  <etc:cellImage>
    <xdr:pic>
      <xdr:nvPicPr>
        <xdr:cNvPr id="3" name="ID_E32CB96C1B1042F894E11EE101ADE999"/>
        <xdr:cNvPicPr>
          <a:picLocks noChangeAspect="1"/>
        </xdr:cNvPicPr>
      </xdr:nvPicPr>
      <xdr:blipFill>
        <a:blip r:embed="rId158"/>
        <a:stretch>
          <a:fillRect/>
        </a:stretch>
      </xdr:blipFill>
      <xdr:spPr>
        <a:xfrm>
          <a:off x="18648045" y="59282965"/>
          <a:ext cx="676275" cy="352425"/>
        </a:xfrm>
        <a:prstGeom prst="rect">
          <a:avLst/>
        </a:prstGeom>
        <a:noFill/>
        <a:ln w="9525">
          <a:noFill/>
        </a:ln>
      </xdr:spPr>
    </xdr:pic>
  </etc:cellImage>
  <etc:cellImage>
    <xdr:pic>
      <xdr:nvPicPr>
        <xdr:cNvPr id="4" name="ID_7751AE6D34514106832CCACA49FA8EF1"/>
        <xdr:cNvPicPr>
          <a:picLocks noChangeAspect="1"/>
        </xdr:cNvPicPr>
      </xdr:nvPicPr>
      <xdr:blipFill>
        <a:blip r:embed="rId158"/>
        <a:stretch>
          <a:fillRect/>
        </a:stretch>
      </xdr:blipFill>
      <xdr:spPr>
        <a:xfrm>
          <a:off x="16158210" y="59282965"/>
          <a:ext cx="676275" cy="352425"/>
        </a:xfrm>
        <a:prstGeom prst="rect">
          <a:avLst/>
        </a:prstGeom>
        <a:noFill/>
        <a:ln w="9525">
          <a:noFill/>
        </a:ln>
      </xdr:spPr>
    </xdr:pic>
  </etc:cellImage>
  <etc:cellImage>
    <xdr:pic>
      <xdr:nvPicPr>
        <xdr:cNvPr id="5" name="ID_5D0ABCCF93FA4A77AA256CC29A1E2689"/>
        <xdr:cNvPicPr>
          <a:picLocks noChangeAspect="1"/>
        </xdr:cNvPicPr>
      </xdr:nvPicPr>
      <xdr:blipFill>
        <a:blip r:embed="rId158"/>
        <a:stretch>
          <a:fillRect/>
        </a:stretch>
      </xdr:blipFill>
      <xdr:spPr>
        <a:xfrm>
          <a:off x="19420840" y="59282965"/>
          <a:ext cx="676275" cy="352425"/>
        </a:xfrm>
        <a:prstGeom prst="rect">
          <a:avLst/>
        </a:prstGeom>
        <a:noFill/>
        <a:ln w="9525">
          <a:noFill/>
        </a:ln>
      </xdr:spPr>
    </xdr:pic>
  </etc:cellImage>
</etc:cellImages>
</file>

<file path=xl/sharedStrings.xml><?xml version="1.0" encoding="utf-8"?>
<sst xmlns="http://schemas.openxmlformats.org/spreadsheetml/2006/main" count="1403" uniqueCount="558">
  <si>
    <t>生命科学学院本科学生2023-2024学年综合素质测评结果</t>
  </si>
  <si>
    <t>（学院盖章）</t>
  </si>
  <si>
    <t>序号</t>
  </si>
  <si>
    <t>学号</t>
  </si>
  <si>
    <t>姓名</t>
  </si>
  <si>
    <t>智育成绩</t>
  </si>
  <si>
    <t>智育排名</t>
  </si>
  <si>
    <t>德育成绩</t>
  </si>
  <si>
    <t>德育排名</t>
  </si>
  <si>
    <t>文体成绩</t>
  </si>
  <si>
    <t>文体排名</t>
  </si>
  <si>
    <t>综合素质测评总分</t>
  </si>
  <si>
    <t>综合素质测评排名</t>
  </si>
  <si>
    <t>绩点</t>
  </si>
  <si>
    <t>四级成绩</t>
  </si>
  <si>
    <t>是否有挂科</t>
  </si>
  <si>
    <t>本人签字</t>
  </si>
  <si>
    <t>备注</t>
  </si>
  <si>
    <t>乔宇晴</t>
  </si>
  <si>
    <t>2</t>
  </si>
  <si>
    <t>无</t>
  </si>
  <si>
    <t>张艺瑶</t>
  </si>
  <si>
    <t>4</t>
  </si>
  <si>
    <t>孙禹飞</t>
  </si>
  <si>
    <t>9</t>
  </si>
  <si>
    <t>依倩竹</t>
  </si>
  <si>
    <t>12</t>
  </si>
  <si>
    <t>否</t>
  </si>
  <si>
    <t>齐雅茹</t>
  </si>
  <si>
    <t>14</t>
  </si>
  <si>
    <t>张雅璇</t>
  </si>
  <si>
    <t>1</t>
  </si>
  <si>
    <t>欧阳琬婷</t>
  </si>
  <si>
    <t>3</t>
  </si>
  <si>
    <t>林佳怡</t>
  </si>
  <si>
    <t>7</t>
  </si>
  <si>
    <t>石峥琪</t>
  </si>
  <si>
    <t>8</t>
  </si>
  <si>
    <t>潘越佳</t>
  </si>
  <si>
    <t>13</t>
  </si>
  <si>
    <t>李峰豪</t>
  </si>
  <si>
    <t>11</t>
  </si>
  <si>
    <t>孟雨欣</t>
  </si>
  <si>
    <t>10</t>
  </si>
  <si>
    <t>崔红丽</t>
  </si>
  <si>
    <t>6</t>
  </si>
  <si>
    <t>袁泉</t>
  </si>
  <si>
    <t>5</t>
  </si>
  <si>
    <t>王增雪</t>
  </si>
  <si>
    <t>18</t>
  </si>
  <si>
    <t>刘力嘉</t>
  </si>
  <si>
    <t>22</t>
  </si>
  <si>
    <t>高一宁</t>
  </si>
  <si>
    <t>16</t>
  </si>
  <si>
    <t>景莹</t>
  </si>
  <si>
    <t>20</t>
  </si>
  <si>
    <t>房美彤</t>
  </si>
  <si>
    <t>15</t>
  </si>
  <si>
    <t>杨蕊含</t>
  </si>
  <si>
    <t>17</t>
  </si>
  <si>
    <t>金雅宾</t>
  </si>
  <si>
    <t>23</t>
  </si>
  <si>
    <t>陈思远</t>
  </si>
  <si>
    <t>21</t>
  </si>
  <si>
    <t>闫美辰</t>
  </si>
  <si>
    <t>24</t>
  </si>
  <si>
    <t>宋时云</t>
  </si>
  <si>
    <t>19</t>
  </si>
  <si>
    <t>徐畅</t>
  </si>
  <si>
    <t>31</t>
  </si>
  <si>
    <t>王梓璇</t>
  </si>
  <si>
    <t>25</t>
  </si>
  <si>
    <t>王煜棉</t>
  </si>
  <si>
    <t>26</t>
  </si>
  <si>
    <t>李婧雯</t>
  </si>
  <si>
    <t>30</t>
  </si>
  <si>
    <t>马子雲</t>
  </si>
  <si>
    <t>35</t>
  </si>
  <si>
    <t>李思缇</t>
  </si>
  <si>
    <t>27</t>
  </si>
  <si>
    <t>代佳楠</t>
  </si>
  <si>
    <t>34</t>
  </si>
  <si>
    <t>杨原源</t>
  </si>
  <si>
    <t>49</t>
  </si>
  <si>
    <t>高阳</t>
  </si>
  <si>
    <t>28</t>
  </si>
  <si>
    <t>刘新月</t>
  </si>
  <si>
    <t>53</t>
  </si>
  <si>
    <t>王麒辛</t>
  </si>
  <si>
    <t>48</t>
  </si>
  <si>
    <t>苏乾瑞</t>
  </si>
  <si>
    <t>38</t>
  </si>
  <si>
    <t>王一帆</t>
  </si>
  <si>
    <t>29</t>
  </si>
  <si>
    <t>宋佳慧</t>
  </si>
  <si>
    <t>37</t>
  </si>
  <si>
    <t>肖思彤</t>
  </si>
  <si>
    <t>116</t>
  </si>
  <si>
    <t>李美含</t>
  </si>
  <si>
    <t>律思瑶</t>
  </si>
  <si>
    <t>57</t>
  </si>
  <si>
    <t>郭佳慧</t>
  </si>
  <si>
    <t>33</t>
  </si>
  <si>
    <t>王子琪</t>
  </si>
  <si>
    <t>42</t>
  </si>
  <si>
    <t>王闺遥</t>
  </si>
  <si>
    <t>32</t>
  </si>
  <si>
    <t>张可欣</t>
  </si>
  <si>
    <t>39</t>
  </si>
  <si>
    <t>栾晓月</t>
  </si>
  <si>
    <t>41</t>
  </si>
  <si>
    <t>赵馨悦</t>
  </si>
  <si>
    <t>40</t>
  </si>
  <si>
    <t>随梦萍</t>
  </si>
  <si>
    <t>54</t>
  </si>
  <si>
    <t>孙硕</t>
  </si>
  <si>
    <t>70</t>
  </si>
  <si>
    <t>64.5（满分100）</t>
  </si>
  <si>
    <t>21012004</t>
  </si>
  <si>
    <t>付思楠</t>
  </si>
  <si>
    <t>43</t>
  </si>
  <si>
    <t>张宜双</t>
  </si>
  <si>
    <t>44</t>
  </si>
  <si>
    <t>王雯鑫</t>
  </si>
  <si>
    <t>59</t>
  </si>
  <si>
    <t>周健</t>
  </si>
  <si>
    <t>50</t>
  </si>
  <si>
    <t>王晓倩</t>
  </si>
  <si>
    <t>46</t>
  </si>
  <si>
    <t>王瑾</t>
  </si>
  <si>
    <t>51</t>
  </si>
  <si>
    <t>王一凡</t>
  </si>
  <si>
    <t>刘芷含</t>
  </si>
  <si>
    <t>姜璎珊</t>
  </si>
  <si>
    <t>75</t>
  </si>
  <si>
    <t>修铭悦</t>
  </si>
  <si>
    <t>45</t>
  </si>
  <si>
    <t>李  旺</t>
  </si>
  <si>
    <t>73</t>
  </si>
  <si>
    <t>王秋瑶</t>
  </si>
  <si>
    <t>47</t>
  </si>
  <si>
    <t>李明慧</t>
  </si>
  <si>
    <t>69</t>
  </si>
  <si>
    <t>卞柯童</t>
  </si>
  <si>
    <t>55</t>
  </si>
  <si>
    <t>王晓童</t>
  </si>
  <si>
    <t>64</t>
  </si>
  <si>
    <t>张翰云</t>
  </si>
  <si>
    <t>65</t>
  </si>
  <si>
    <t>黄丹艺</t>
  </si>
  <si>
    <t>66</t>
  </si>
  <si>
    <t>周瑞溪</t>
  </si>
  <si>
    <t>109</t>
  </si>
  <si>
    <t>郭曼</t>
  </si>
  <si>
    <t>63</t>
  </si>
  <si>
    <t>郭凤杰</t>
  </si>
  <si>
    <t>郭畅</t>
  </si>
  <si>
    <t>60</t>
  </si>
  <si>
    <t>刘嘉惠</t>
  </si>
  <si>
    <t>李佳慧</t>
  </si>
  <si>
    <t>68</t>
  </si>
  <si>
    <t>郎彩夷</t>
  </si>
  <si>
    <t>89</t>
  </si>
  <si>
    <t>于慧玲</t>
  </si>
  <si>
    <t>62</t>
  </si>
  <si>
    <t>赵越</t>
  </si>
  <si>
    <t>78</t>
  </si>
  <si>
    <t>孙楠</t>
  </si>
  <si>
    <t>67</t>
  </si>
  <si>
    <t>韩雨欣</t>
  </si>
  <si>
    <t>106</t>
  </si>
  <si>
    <t>范琳颖</t>
  </si>
  <si>
    <t>刘俊鹏</t>
  </si>
  <si>
    <t>81</t>
  </si>
  <si>
    <t>侯佳秀</t>
  </si>
  <si>
    <t>84</t>
  </si>
  <si>
    <t>邹权轩</t>
  </si>
  <si>
    <t>108</t>
  </si>
  <si>
    <t>田梓晓</t>
  </si>
  <si>
    <t>袁晨曦</t>
  </si>
  <si>
    <t>85</t>
  </si>
  <si>
    <t>辛双菲</t>
  </si>
  <si>
    <t>71</t>
  </si>
  <si>
    <t>黄圆圆</t>
  </si>
  <si>
    <t>王天竺</t>
  </si>
  <si>
    <t>82</t>
  </si>
  <si>
    <t>韩佳彤</t>
  </si>
  <si>
    <t>99</t>
  </si>
  <si>
    <t>王霁月</t>
  </si>
  <si>
    <t>88</t>
  </si>
  <si>
    <t>刘宇航</t>
  </si>
  <si>
    <t>100</t>
  </si>
  <si>
    <t>卜天琪</t>
  </si>
  <si>
    <t>72</t>
  </si>
  <si>
    <t>王多</t>
  </si>
  <si>
    <t>94</t>
  </si>
  <si>
    <t>翟可欣</t>
  </si>
  <si>
    <t>74</t>
  </si>
  <si>
    <t>苏美宁</t>
  </si>
  <si>
    <t>高艺原</t>
  </si>
  <si>
    <t>77</t>
  </si>
  <si>
    <t>李广鸿</t>
  </si>
  <si>
    <t>83</t>
  </si>
  <si>
    <t>吴佩遇</t>
  </si>
  <si>
    <t>110</t>
  </si>
  <si>
    <t>张传昕</t>
  </si>
  <si>
    <t>95</t>
  </si>
  <si>
    <t>张晓彤</t>
  </si>
  <si>
    <t>93</t>
  </si>
  <si>
    <t>赵莉欣</t>
  </si>
  <si>
    <t>86</t>
  </si>
  <si>
    <t>施晨伊</t>
  </si>
  <si>
    <t>87</t>
  </si>
  <si>
    <t>倪丹迪</t>
  </si>
  <si>
    <t>103</t>
  </si>
  <si>
    <t>刘子扬</t>
  </si>
  <si>
    <t>107</t>
  </si>
  <si>
    <t>张彤彤</t>
  </si>
  <si>
    <t>112</t>
  </si>
  <si>
    <t>霍金婷</t>
  </si>
  <si>
    <t>91</t>
  </si>
  <si>
    <t>张桐宁</t>
  </si>
  <si>
    <t>92</t>
  </si>
  <si>
    <t>赵健竹</t>
  </si>
  <si>
    <t>101</t>
  </si>
  <si>
    <t>王思艺</t>
  </si>
  <si>
    <t>122</t>
  </si>
  <si>
    <t>沈嘉怡</t>
  </si>
  <si>
    <t>96</t>
  </si>
  <si>
    <t>尹一轩</t>
  </si>
  <si>
    <t>李晓萌</t>
  </si>
  <si>
    <t>111</t>
  </si>
  <si>
    <t>郭利鑫</t>
  </si>
  <si>
    <t>98</t>
  </si>
  <si>
    <t>李若男</t>
  </si>
  <si>
    <t>105</t>
  </si>
  <si>
    <t>王珊珊</t>
  </si>
  <si>
    <t>114</t>
  </si>
  <si>
    <t>李鑫</t>
  </si>
  <si>
    <t>102</t>
  </si>
  <si>
    <t>高芊芊</t>
  </si>
  <si>
    <t>104</t>
  </si>
  <si>
    <t>赵安琪</t>
  </si>
  <si>
    <t>陈思佳</t>
  </si>
  <si>
    <t>王振儒</t>
  </si>
  <si>
    <t>119</t>
  </si>
  <si>
    <t>袁鑫淼</t>
  </si>
  <si>
    <t>118</t>
  </si>
  <si>
    <t>孙怡凡</t>
  </si>
  <si>
    <t>124</t>
  </si>
  <si>
    <t>李志强</t>
  </si>
  <si>
    <t>126</t>
  </si>
  <si>
    <t>赵芷骄</t>
  </si>
  <si>
    <t>136</t>
  </si>
  <si>
    <t>李欣同</t>
  </si>
  <si>
    <t>张展慧</t>
  </si>
  <si>
    <t>117</t>
  </si>
  <si>
    <t>张瑞桐</t>
  </si>
  <si>
    <t>120</t>
  </si>
  <si>
    <t>陈柬竹</t>
  </si>
  <si>
    <t>142</t>
  </si>
  <si>
    <t>吴  比</t>
  </si>
  <si>
    <t>121</t>
  </si>
  <si>
    <t>戴熙帛</t>
  </si>
  <si>
    <t>134</t>
  </si>
  <si>
    <t>王骁</t>
  </si>
  <si>
    <t>128</t>
  </si>
  <si>
    <t>李卓凡</t>
  </si>
  <si>
    <t>125</t>
  </si>
  <si>
    <t>张敏</t>
  </si>
  <si>
    <t>130</t>
  </si>
  <si>
    <t>李宝彤</t>
  </si>
  <si>
    <t>127</t>
  </si>
  <si>
    <t>程梦如</t>
  </si>
  <si>
    <t>138</t>
  </si>
  <si>
    <t>周美晗</t>
  </si>
  <si>
    <t>133</t>
  </si>
  <si>
    <t>温文近</t>
  </si>
  <si>
    <t>139</t>
  </si>
  <si>
    <t>刘淇</t>
  </si>
  <si>
    <t>129</t>
  </si>
  <si>
    <t>何珈瑶</t>
  </si>
  <si>
    <t>于小涵</t>
  </si>
  <si>
    <t>132</t>
  </si>
  <si>
    <t>白东升</t>
  </si>
  <si>
    <t>135</t>
  </si>
  <si>
    <t>张静雯</t>
  </si>
  <si>
    <t>140</t>
  </si>
  <si>
    <t>连盛楠</t>
  </si>
  <si>
    <t>137</t>
  </si>
  <si>
    <t>宋王琪</t>
  </si>
  <si>
    <t>141</t>
  </si>
  <si>
    <t>鞠萌</t>
  </si>
  <si>
    <t>148</t>
  </si>
  <si>
    <t>赵英姿</t>
  </si>
  <si>
    <t>143</t>
  </si>
  <si>
    <t>刘峻廷</t>
  </si>
  <si>
    <t>145</t>
  </si>
  <si>
    <t>王承瑞</t>
  </si>
  <si>
    <t>146</t>
  </si>
  <si>
    <t>赫子锐</t>
  </si>
  <si>
    <t>144</t>
  </si>
  <si>
    <t>周泉棣</t>
  </si>
  <si>
    <t>147</t>
  </si>
  <si>
    <t>王佳胤</t>
  </si>
  <si>
    <t>150</t>
  </si>
  <si>
    <t>李慕涵</t>
  </si>
  <si>
    <t>149</t>
  </si>
  <si>
    <t>马静茹</t>
  </si>
  <si>
    <t>151</t>
  </si>
  <si>
    <t>刘祉伶</t>
  </si>
  <si>
    <t>152</t>
  </si>
  <si>
    <t>李  双</t>
  </si>
  <si>
    <t>153</t>
  </si>
  <si>
    <t>王思翔</t>
  </si>
  <si>
    <t>155</t>
  </si>
  <si>
    <t>是</t>
  </si>
  <si>
    <t>朱山</t>
  </si>
  <si>
    <t>154</t>
  </si>
  <si>
    <t>有</t>
  </si>
  <si>
    <t>陈艺文</t>
  </si>
  <si>
    <t>156</t>
  </si>
  <si>
    <t>赵伯琦</t>
  </si>
  <si>
    <t>157</t>
  </si>
  <si>
    <t>生命科学学院本科学生2023-2024学年综合素质测评结果智育测评成绩</t>
  </si>
  <si>
    <t>基础分（学分加权平均分）</t>
  </si>
  <si>
    <t>奖励分</t>
  </si>
  <si>
    <t>总分</t>
  </si>
  <si>
    <t>智育测评得分</t>
  </si>
  <si>
    <t>智育测评排名</t>
  </si>
  <si>
    <t>奖励分、扣分明细</t>
  </si>
  <si>
    <t>1.2023年东北三省一区第三届大学生生态环保作品竞赛 省级三等+1
3. 大学生创新创业训练计划项目结题 省级+1</t>
  </si>
  <si>
    <t>1.2023年第十四届大学生动植物标本制作大赛校级二等奖＋1                           
2.2023年大创项目结题＋2</t>
  </si>
  <si>
    <t>2023年10月沈阳师范大学第十四届动植物标本制作大赛二等奖（成员）+0.67</t>
  </si>
  <si>
    <t>2023年第十四届大学生动植物标本制作大赛校级三等奖+0.3</t>
  </si>
  <si>
    <t>1.2024年4月大学生创新创业训练计划项目校级（负责人）+2
2.沈阳师范大学大学生动植物标本大赛一等奖（负责人）+4
3.辽宁省高校大学生动植物标本大赛昆虫标本赛道一等奖（负责人）
4.第五届中国动物标本大赛二等奖</t>
  </si>
  <si>
    <t>2023年第十四届大学生动植物标本制作大赛校级三等奖+1</t>
  </si>
  <si>
    <t>沈阳师范大学—2024年大创项目—不胜"酶"举-多酶木糖发酵创意面包坊—小组成员</t>
  </si>
  <si>
    <t>1.Endophytic Fungus Glomerella sp. JP4 Alleviated the Phytotoxic Effects in Rice Seedlings Exposed to Aluminum Stress（Pol.J.Environ.Stud.Vol.33,No.5(2024),5181-5190，核心）（合作：第三作者）+2.5 。</t>
  </si>
  <si>
    <t>1.2023年10月沈阳师范大学第十四届动植物标本大赛校级二等奖（成员）+0.67
 2.2024年沈阳师范大学第三届师范生基本功大赛二等奖+2</t>
  </si>
  <si>
    <t>东北三省一区第三届大学生生态环保竞赛 省三等奖+4
沈阳师范大学标本制作大赛 校二等奖+1
沈阳师范大学大学生创新创业项目 校级结题+0.5</t>
  </si>
  <si>
    <t>1.第十四届动植物标本大赛校级三等奖+1   
2.第三届师范生基本功大赛二等奖+2</t>
  </si>
  <si>
    <t xml:space="preserve">1.2023年10月沈阳师范大学第十四届大学生动植物标本制作大赛校级二等奖＋1    
2.2024年4月大学生创新创业训练计划项目校级＋0.5              </t>
  </si>
  <si>
    <t>1.大学生创新创业训练计划项目（2024年4月，校级）（合作：组员）+0.5</t>
  </si>
  <si>
    <t>沈阳师范大学第十四届大学生动植物标本制作大赛校二等奖负责人➕2</t>
  </si>
  <si>
    <t>1.大学生创新创业训练计划项目（2024年4月，校级） （合作：组员）+0.5</t>
  </si>
  <si>
    <t>1.2023年9月动植物标本制作大赛校级二等奖 +2
2.2023年10月大学生创新创业大赛校级结题 +0.5</t>
  </si>
  <si>
    <t>1.外施腐胺对铅胁迫下水稻幼苗生长及叶绿素荧光的影响（江苏农业科学，2024.2，核心，第二作者)+5
2.2024.4省级大学生创新创业训练计划项目负责人+4
3.2023.11辽宁省动植物标本制作大赛省级一等奖第二成员+4
4.2024.7沈阳师范大学第三届师范生教学基本功大赛多媒体课件设计三等奖+1</t>
  </si>
  <si>
    <t>校级大创项目已结题 +2</t>
  </si>
  <si>
    <t>1.氮处理对高粱氮代谢相关基因 ＮＲ、ＧＳ、ＧＯＧＡＴ表达的影响（江苏农业科学2024.3，核心 第二作者）+5
2.Three new species of Camptoscaphiella
Caporiacco, 1934 (Araneae, Oonopidae) from
Yunnan Province, China（Biodiversity Data Journal ，2023.9，核心 第二作者）+5
3.大创项目校级结题+2</t>
  </si>
  <si>
    <t>第九届中国国际“互联网+”大学生创新创业大赛校级铜奖+1</t>
  </si>
  <si>
    <t>1.大学生创新创业训练计划校级项目负责人+2
2.2024年“挑战杯”沈阳师范大学大学生创业计划竞赛校级一等奖负责人+4
3.2023 年东北三省一区第三届大学生生态环保作品竞赛省级二等奖队员+1.5
4.2024年师范生技能大赛多媒体课件设计校级一等奖+4</t>
  </si>
  <si>
    <t>1.2023.11中国第五届动物标本大赛国家级二等奖（负责人）+8
3.2024.07“挑战杯”沈阳师范大学大学生创业计划竞赛校级一等奖（第二顺位成员）+2
4.2023.09辽宁省大学生智慧农业创新创业大赛省级二等奖（成员)+1.5
5.2023.10东北三省一区大学生生态环保作品竞赛省级三等奖（成员）+1.33
6.2023.11辽宁省大学生固体废物资源化利用理念与技术创新创业竞赛省级三等奖（成员）+2
7.2024.07中国国际大学生创新大赛（2024）沈阳师范大学校赛银奖(第二顺位成员）+1</t>
  </si>
  <si>
    <t>2023年沈阳师范大学第十四届动植物标本大赛校级二等奖（负责人）</t>
  </si>
  <si>
    <t>2024年4月大学生创新创业项目《 “Win-Win” as a Tutor——基于移动平台的家校共赢》</t>
  </si>
  <si>
    <t>沈阳师范大学第三届师范生教学基本功大赛多媒体教学设计 2   辽宁省固体废物资源化利用创新创业竞赛优秀奖+1</t>
  </si>
  <si>
    <t>2024年1月“挑战杯”沈阳师范大学大学生创业计划竞赛校级二等奖+0.2</t>
  </si>
  <si>
    <t>1.2024年四月大学生创新创业项目校级立项团队成员+0.5
3.2024年六月中国国际大学生创新大赛校赛铜奖团队成员+0.5</t>
  </si>
  <si>
    <t>2023年沈阳师范大学本科师范生微课设计竞赛校级二等奖+2</t>
  </si>
  <si>
    <t>2024年“挑战杯”沈阳师范大学大学生创业计划竞赛  运球帷幄 智能陪练领军者 校级三等奖 0.5
2024年中国国际大学生创新创业校赛金奖成员 0.5</t>
  </si>
  <si>
    <t>1.2023 年12月(第五届)沈阳师范大学本科师范生微课设计竞赛二等奖负责人+2
2.2024年7月沈阳师范大学挑战杯一等奖成员+2
3.2023年7月沈阳师范大学第三届师范生教学基本功大赛全能赛二等奖+2</t>
  </si>
  <si>
    <t>师范生基本功大赛三等奖 ＋1</t>
  </si>
  <si>
    <t>1.“国际化+闭环式”倡导保护生物多样性可行性探析（2024年3月，省级） （第一作者）+6 。
2.大创国家级负责人(构建“一带一路”双语国际化生态廊道 保护地球生物多样性)＋5</t>
  </si>
  <si>
    <t>1. 2023年11月，辽宁省动植物标本大赛，省级二等奖，团队成员＋3
3. 2024年4月，省级大创结题，团队成员＋1
4. 204年6月，师范生技能大赛，校级三等奖＋1
5. 2024年7月，辽宁省大学生创新年会论文组，省二，团队成员＋3</t>
  </si>
  <si>
    <t>1.2024 4月大创项目国家级团队成员 ＋2  2 2023年11月互联＋省级一等奖团队成员＋4</t>
  </si>
  <si>
    <t>1.2024年4月，省级大创项目结题，负责人+4
2.2023年11月，辽宁省动植物标本大赛，省级二等奖，团队成员，+3
4.2024年6月，师范生技能大赛，校级二等奖，+2
5.2024年7月，辽宁省创新年会，省级二等奖，负责人，+6</t>
  </si>
  <si>
    <t xml:space="preserve">
2.2024年7月第三届师范生技能大赛演讲（校级一等奖）+4
3.2024年3月沈阳师范大学第九届教学技能选拔会讲课大赛（校级一等奖）+4
4.2024年4月大学生创新创业大赛省级结题团队成员+1
6.2024年7月互联网+校级金奖第二团队成员+2
7.2024年5月第十四届全国大学生三创赛校级一等奖第二团队成员+2
8.8.2024年6月智慧农业创意大赛校级特等奖第二团队成员+3
9.2024年8月在核心期刊《生物多样性》上发表论文2023年世界现生蜘蛛目新分类单元（第二作者）+5</t>
  </si>
  <si>
    <t>1.2024年4月，省级大创项目结题，成员+1
2.2024年6月30日第二作者在核心期刊《Insects》上发表论文+5
3.沈阳师范大学第三届师范生教学基本功大赛单项模拟教学一等奖+4</t>
  </si>
  <si>
    <t>沈阳市创新创业大赛市级铜奖+2</t>
  </si>
  <si>
    <t>2023年11月辽宁省智慧体育大学生创新创业大赛，省级一等奖，团队成员+4</t>
  </si>
  <si>
    <t xml:space="preserve">1.2024年4月 大创校级结题团队成员 +0.5  2.2024年6月环保竞赛省级三等奖团队成员 +2  </t>
  </si>
  <si>
    <t>1.2024年8月挑战杯省赛 省级银奖 +3 
3.2024年大学生创新创业训练项目 校级立项 +0.5
4.2024年6月“德泰杯”第四届大学生生态环保作品竞赛 省级三等奖 +2</t>
  </si>
  <si>
    <t>1.2024年8月挑战杯省赛 省级银奖 负责人 +6   
2.2024年6月第九届全国大学生生命科学竞赛 省级三等奖 负责人 +4
3.2024年7月第三届教师基本功大赛 校级二等奖+2
4.2024年大学生创新创业训练项目 校级立项 负责人+2
5.2024年6月“德泰杯”第四届大学生生态环保作品竞赛 省级三等奖 负责人 +4
6.2024年6月中国国际大学生创新大赛 校级金奖 第二成员 +2</t>
  </si>
  <si>
    <t>1.2023年11月辽宁省电商直播大赛省级三等奖+2
2.2024年8月“挑战杯”省赛  省级银奖成员+3</t>
  </si>
  <si>
    <t>1.2023年大学生智慧农业创新创业大赛省级三等奖+1.3 
2.第二届大学生固体废物资源化利用理念与技术创新创业大赛+0.25 
3.2023 年东北三省一区第三届大学生生态环保作品竞赛省级二等奖队员+1.5</t>
  </si>
  <si>
    <t>2.2023年10月沈阳师范大学动植物标本大赛校级二等奖 负责人+2 3.挑战杯特等奖+3分</t>
  </si>
  <si>
    <t xml:space="preserve">
</t>
  </si>
  <si>
    <t xml:space="preserve">1.第九届动植物标本大赛省级二等奖（组长）6
2.2024.07 第三届教师基本功大赛模拟教学校级一等奖  东北三省一区生态环保竞赛三等奖组员 ＋2  国家级大创结题＋2 </t>
  </si>
  <si>
    <r>
      <rPr>
        <sz val="14"/>
        <color rgb="FF000000"/>
        <rFont val="宋体"/>
        <charset val="134"/>
      </rPr>
      <t>1.2023年9月辽宁省普通高等学院校大学生智慧农业创新创业大赛省级二等奖负责人 6</t>
    </r>
    <r>
      <rPr>
        <sz val="14"/>
        <color rgb="FF000000"/>
        <rFont val="宋体"/>
        <charset val="134"/>
      </rPr>
      <t xml:space="preserve">
</t>
    </r>
    <r>
      <rPr>
        <sz val="14"/>
        <color rgb="FF000000"/>
        <rFont val="宋体"/>
        <charset val="134"/>
      </rPr>
      <t>2.2023年10月东北三省一区第三届大学生生态环保作品竞赛省级三等奖负责人 4</t>
    </r>
  </si>
  <si>
    <t>1.2023年11月辽宁省高等学校大学生动植物标本制作大赛（植物标本赛道）省级一等奖 2</t>
  </si>
  <si>
    <t>1.校级大创结题负责人 2</t>
  </si>
  <si>
    <t>1.国家级结题大创项目成员 2</t>
  </si>
  <si>
    <r>
      <rPr>
        <sz val="14"/>
        <color rgb="FF000000"/>
        <rFont val="宋体"/>
        <charset val="134"/>
      </rPr>
      <t>1.省级大创结题负责人 4</t>
    </r>
    <r>
      <rPr>
        <sz val="14"/>
        <color rgb="FF000000"/>
        <rFont val="宋体"/>
        <charset val="134"/>
      </rPr>
      <t xml:space="preserve">
</t>
    </r>
    <r>
      <rPr>
        <sz val="14"/>
        <color rgb="FF000000"/>
        <rFont val="宋体"/>
        <charset val="134"/>
      </rPr>
      <t>2.国家级大创结题成员 2</t>
    </r>
    <r>
      <rPr>
        <sz val="14"/>
        <color rgb="FF000000"/>
        <rFont val="宋体"/>
        <charset val="134"/>
      </rPr>
      <t xml:space="preserve">
</t>
    </r>
    <r>
      <rPr>
        <sz val="14"/>
        <color rgb="FF000000"/>
        <rFont val="宋体"/>
        <charset val="134"/>
      </rPr>
      <t>3.师范生技能大赛二等奖 2</t>
    </r>
    <r>
      <rPr>
        <sz val="14"/>
        <color rgb="FF000000"/>
        <rFont val="宋体"/>
        <charset val="134"/>
      </rPr>
      <t xml:space="preserve">
</t>
    </r>
    <r>
      <rPr>
        <sz val="14"/>
        <color rgb="FF000000"/>
        <rFont val="宋体"/>
        <charset val="134"/>
      </rPr>
      <t>4.互联网+校银奖负责人 2</t>
    </r>
  </si>
  <si>
    <t>1.2023.9 辽宁省大学生智慧农业创新创业大赛省级二等奖团队成员 1.5
2.2023.9 辽宁省标本大赛校级三等奖团队成员 0.25
3.2023.11 第二届辽宁省固体废物资源化利用竞赛省级三等奖团队成员 1
4.2024.7 沈阳师范大学第三届师范生教学基本功大赛校级一等奖 4
5.2024.7 辽宁省大学生智慧农业电商创意与科研实践大赛省级二等奖负责人 6
6.2024.7 沈阳师范大学中国国际大学生创新大赛校级三等奖负责人 1</t>
  </si>
  <si>
    <r>
      <rPr>
        <sz val="14"/>
        <color rgb="FF000000"/>
        <rFont val="宋体"/>
        <charset val="134"/>
      </rPr>
      <t>1.《生物多样性》期刊核心论文《2022年世界蜘蛛目新分类单元》（第一作者） 10</t>
    </r>
    <r>
      <rPr>
        <sz val="14"/>
        <color rgb="FF000000"/>
        <rFont val="宋体"/>
        <charset val="134"/>
      </rPr>
      <t xml:space="preserve">
</t>
    </r>
    <r>
      <rPr>
        <sz val="14"/>
        <color rgb="FF000000"/>
        <rFont val="宋体"/>
        <charset val="134"/>
      </rPr>
      <t>2.国家级大创结题（组员） 2</t>
    </r>
  </si>
  <si>
    <r>
      <rPr>
        <sz val="14"/>
        <color rgb="FF000000"/>
        <rFont val="宋体"/>
        <charset val="134"/>
      </rPr>
      <t>1.核心期刊《生物多样性》论文《2022年世界蜘蛛目新分类单元》第二作者 5</t>
    </r>
    <r>
      <rPr>
        <sz val="14"/>
        <color rgb="FF000000"/>
        <rFont val="宋体"/>
        <charset val="134"/>
      </rPr>
      <t xml:space="preserve">
</t>
    </r>
    <r>
      <rPr>
        <sz val="14"/>
        <color rgb="FF000000"/>
        <rFont val="宋体"/>
        <charset val="134"/>
      </rPr>
      <t>2.国家级大创《2022年世界蜘蛛目（蛛形纲）新分类单元》项目负责人（已结题） 5</t>
    </r>
  </si>
  <si>
    <r>
      <rPr>
        <sz val="14"/>
        <color rgb="FF000000"/>
        <rFont val="宋体"/>
        <charset val="134"/>
      </rPr>
      <t>1.2024年4月省级大创项目结题（成员） 1</t>
    </r>
    <r>
      <rPr>
        <sz val="14"/>
        <color rgb="FF000000"/>
        <rFont val="宋体"/>
        <charset val="134"/>
      </rPr>
      <t xml:space="preserve">
</t>
    </r>
    <r>
      <rPr>
        <sz val="14"/>
        <color rgb="FF000000"/>
        <rFont val="宋体"/>
        <charset val="134"/>
      </rPr>
      <t>2.2024年5月第十四届全国大学生电子商务挑战赛校级二等奖（成员） 1</t>
    </r>
    <r>
      <rPr>
        <sz val="14"/>
        <color rgb="FF000000"/>
        <rFont val="宋体"/>
        <charset val="134"/>
      </rPr>
      <t xml:space="preserve">
</t>
    </r>
    <r>
      <rPr>
        <sz val="14"/>
        <color rgb="FF000000"/>
        <rFont val="宋体"/>
        <charset val="134"/>
      </rPr>
      <t>3.2024年7月师范生技能大赛校级一等奖 4</t>
    </r>
    <r>
      <rPr>
        <sz val="14"/>
        <color rgb="FF000000"/>
        <rFont val="宋体"/>
        <charset val="134"/>
      </rPr>
      <t xml:space="preserve">
</t>
    </r>
    <r>
      <rPr>
        <sz val="14"/>
        <color rgb="FF000000"/>
        <rFont val="宋体"/>
        <charset val="134"/>
      </rPr>
      <t>4.2024年7月中国国际大学生创新大赛校级二等奖（成员） 1</t>
    </r>
    <r>
      <rPr>
        <sz val="14"/>
        <color rgb="FF000000"/>
        <rFont val="宋体"/>
        <charset val="134"/>
      </rPr>
      <t xml:space="preserve">
</t>
    </r>
    <r>
      <rPr>
        <sz val="14"/>
        <color rgb="FF000000"/>
        <rFont val="宋体"/>
        <charset val="134"/>
      </rPr>
      <t>5.2024年6月智慧农业电商创意与科研实践大赛校级特等奖（成员） 2</t>
    </r>
    <r>
      <rPr>
        <sz val="14"/>
        <color rgb="FF000000"/>
        <rFont val="宋体"/>
        <charset val="134"/>
      </rPr>
      <t xml:space="preserve">
</t>
    </r>
    <r>
      <rPr>
        <sz val="14"/>
        <color rgb="FF000000"/>
        <rFont val="宋体"/>
        <charset val="134"/>
      </rPr>
      <t>6.2023年11月辽宁省第四届产教融合创新创意项目大赛省级三等奖（成员） 1</t>
    </r>
  </si>
  <si>
    <r>
      <rPr>
        <sz val="14"/>
        <color rgb="FF000000"/>
        <rFont val="宋体"/>
        <charset val="134"/>
      </rPr>
      <t>1.2023年9月辽宁省普通高等学院校大学生智慧农业创新创业大赛省级二等奖 1.25</t>
    </r>
    <r>
      <rPr>
        <sz val="14"/>
        <color rgb="FF000000"/>
        <rFont val="宋体"/>
        <charset val="134"/>
      </rPr>
      <t xml:space="preserve">
</t>
    </r>
    <r>
      <rPr>
        <sz val="14"/>
        <color rgb="FF000000"/>
        <rFont val="宋体"/>
        <charset val="134"/>
      </rPr>
      <t>2.2023年10月东北三省一区第三届大学生生态环保作品竞赛省级三等奖 1.3</t>
    </r>
    <r>
      <rPr>
        <sz val="14"/>
        <color rgb="FF000000"/>
        <rFont val="宋体"/>
        <charset val="134"/>
      </rPr>
      <t xml:space="preserve">
</t>
    </r>
    <r>
      <rPr>
        <sz val="14"/>
        <color rgb="FF000000"/>
        <rFont val="宋体"/>
        <charset val="134"/>
      </rPr>
      <t>3.2023年10月沈阳师范大学第十四届大学生动植物标本制作大赛校级三等奖 0.25</t>
    </r>
    <r>
      <rPr>
        <sz val="14"/>
        <color rgb="FF000000"/>
        <rFont val="宋体"/>
        <charset val="134"/>
      </rPr>
      <t xml:space="preserve">
</t>
    </r>
    <r>
      <rPr>
        <sz val="14"/>
        <color rgb="FF000000"/>
        <rFont val="宋体"/>
        <charset val="134"/>
      </rPr>
      <t>4.2023年11月第二届辽宁省普通高等学校本科大学生固体废物资源化利用理念与技术创新创业竞赛省级三等奖 1</t>
    </r>
  </si>
  <si>
    <t>1.2024年4月大学生创新创业训练计划项目国家级负责人 5
2.2024年9月沈阳师范大学第三届师范生教学基本功大赛模拟教学校级一等奖负责人 4
3.2024年中国国际大学生创新大赛高教主赛道省级银奖团队成员 1</t>
  </si>
  <si>
    <t>1.2023年9月辽宁省普通高等学院校大学生智慧农业创新创业大赛省级三等奖（成员）+1.3  
2.2023年10月东北三省一区第三届大学生生态环保作品竞赛省级二等奖（负责人）+6   
3.2024年6月“挑战杯”沈阳师范大学大学生创业计划竞赛校级一等奖（成员）+2</t>
  </si>
  <si>
    <t>1.2024年4月大创国家级结题项目成员 2</t>
  </si>
  <si>
    <r>
      <rPr>
        <sz val="14"/>
        <color rgb="FF000000"/>
        <rFont val="宋体"/>
        <charset val="134"/>
      </rPr>
      <t>1.2023年10月东北三省一区第三届大学生生态环保作品竞赛省级三等奖（负责人） 4</t>
    </r>
    <r>
      <rPr>
        <sz val="14"/>
        <color rgb="FF000000"/>
        <rFont val="宋体"/>
        <charset val="134"/>
      </rPr>
      <t xml:space="preserve">
</t>
    </r>
    <r>
      <rPr>
        <sz val="14"/>
        <color rgb="FF000000"/>
        <rFont val="宋体"/>
        <charset val="134"/>
      </rPr>
      <t>2.2023年11月辽宁省高等学校大学生动植物标本制作大赛（植物标本赛道）省级一等奖（负责人） 8</t>
    </r>
  </si>
  <si>
    <t>生命科学学院本科学生2023-2024学年综合素质测评结果德育测评成绩</t>
  </si>
  <si>
    <t>基础分（满分60）</t>
  </si>
  <si>
    <t>奖励分（满分40）</t>
  </si>
  <si>
    <t>扣分</t>
  </si>
  <si>
    <t>德育测评得分</t>
  </si>
  <si>
    <t>德育测评排名</t>
  </si>
  <si>
    <t>1.生科一班班长+4
2.2024寒假返家乡社会实践+0.5 
3.沈阳师范大学大学生暑期“三下乡”社会实践活动，被评为优秀团队+2 
5.校团委承办节粮学习传统美德的线上志愿服务活动+0.5</t>
  </si>
  <si>
    <t>节粮传统 ＋0.5</t>
  </si>
  <si>
    <t>1.优秀实习生+4</t>
  </si>
  <si>
    <t>易班工作站副站长（沈阳师范大学，2023.9）+4</t>
  </si>
  <si>
    <t>优秀寝室（沈阳师范大学，2023年10月）+2</t>
  </si>
  <si>
    <t>1、“汇”志愿力量-- 我们一直在行动
2、郑卫士联合救援队志愿活动
3、冬日魔法:扫雪除冰，守护我们的安全之路  
4、健康地摊--“人人学急救,人人会急救”+0.5</t>
  </si>
  <si>
    <t>1、寝室长+2
2、优秀寝室长（沈阳师范大学2023.10）+4
3、2023年12月师范生说课大赛决赛观摩+0.5</t>
  </si>
  <si>
    <t>1、HED普拉提瑜伽协会综合事务部部长+3</t>
  </si>
  <si>
    <t xml:space="preserve">    讲辩协会宣传部部长 +3  优秀实习生＋4</t>
  </si>
  <si>
    <t>寝室长+2</t>
  </si>
  <si>
    <t>寝室长 +2</t>
  </si>
  <si>
    <t>1.毕业生电话回访（7月4日上午9:20）+0.5</t>
  </si>
  <si>
    <t>心理委员+2</t>
  </si>
  <si>
    <t>文体委员+2</t>
  </si>
  <si>
    <t>寝室长+2
2023年生命科学学院新生助理辅导员+1
辽宁省教育厅“返家乡”大学生社会实践活动省优秀团队 +4
2023年迎新生志愿活动 +0.5</t>
  </si>
  <si>
    <t>团支书+4
新生助导+1
优秀助导+4
2023迎新生志愿活动+0.5</t>
  </si>
  <si>
    <t>1.沈阳师范大学曲艺社宣传部部长+3
2.2023年12月师范生说课大赛决赛观摩+0.5
3.2024信使回访活动+0.5  
 4.2024寒假社会实践+0.5和暑期社会实践+0.5  
5.2024个人志愿活动两次+1  
7.学粮食知识活动+0.5
9.2024沈阳师范大学寒假社会实践项目结题+0.5</t>
  </si>
  <si>
    <t>寝室长＋2</t>
  </si>
  <si>
    <t>1生活委员+2   
2毕业生电话回访+0.5</t>
  </si>
  <si>
    <t>沈阳师范大学乒乓球社团副社长+4</t>
  </si>
  <si>
    <t xml:space="preserve">1.优秀寝室长（沈阳师范大学，2023年10月）+4
2.优秀寝室（沈阳师范大学，2023年10月）+4
3.寝室长+2
优秀实习生＋4
</t>
  </si>
  <si>
    <t>1.迎新生 志愿活动（生命科学学院，2023年9月）＋0.5 
2.《学节粮知识，传中华美德》在线科普活动（2024年8月）+0.5</t>
  </si>
  <si>
    <t>1.生命科学学院2021级生物科学2班班长（生命科学学院，2021年9月）+4</t>
  </si>
  <si>
    <t>生命科学学院21级生科二班寝室长（生命科学学院，2021年9月）+2</t>
  </si>
  <si>
    <t>《学节粮知识，传中华美德》在线科普活动(2024年8月) +0.5</t>
  </si>
  <si>
    <t>1.生命科学学院生科二班文体委员（生命科学学院，2021.9)+2
4.沈阳师范大学第十六届模拟面试大赛优秀简历奖（沈阳师范大学学生处，2023.12)+0.53.优秀实习生+4
5.沈阳师范大学第十六届模拟面试大赛风采展示奖（沈阳师范大学学生处，2023.12)+0.5
6.沈阳师范大学暑期云端相伴（沈阳师范大学校团委，2023.9)+0.5</t>
  </si>
  <si>
    <t xml:space="preserve">生命科学学院21级生科二班寝室长（生命科学学院，2021年9月）+2    暑期社会实践优秀团队+2                        </t>
  </si>
  <si>
    <t>生命科学学院21级生科二班心理委员（生命科学学院，2021.9）+2</t>
  </si>
  <si>
    <t>1.优秀学生（沈阳师范大学，2023.12）+4
2.优秀学生干部（沈阳师范大学，2023.12）+4
3.暑期社会实践优秀团队（沈阳师范大学，2023.12）+4
4.沈阳师范大学讲辩协会社团副职负责人（沈阳师范大学团委，2024.5）+4
5.沈阳师范大学23级助导+1
6.沈阳师范大学生命科学学院迎新生志愿活动+0.5（校团委，2023.9）
7.沈阳师范大学暑期云端相伴活动+0.5（校团委，2023.9）
8.沈阳师范大学暑期三下乡社会实践活动+0.5</t>
  </si>
  <si>
    <t>生命科学学院生科二班寝室长（生命科学学院，2021年9月）+2
优秀实习生＋4</t>
  </si>
  <si>
    <t>暑期社会实践优秀团队（沈阳师范大学，2023年12月）+2</t>
  </si>
  <si>
    <t>优秀实习生＋4
生科二班生活委员+2    
《学粮知识 传中华美德》在线科普活动+0.5    
毕业生就业核查志愿服务活动+0.5</t>
  </si>
  <si>
    <t>1.优秀学生干部（沈阳师范大学，2023年12月）+4
2.绿色环保志愿者协会会长（沈阳师范大学团委，2024年5月）＋5
优秀实习生 ＋4</t>
  </si>
  <si>
    <t>优秀实习生＋4</t>
  </si>
  <si>
    <t>1.生命科学学院学生会主席团成员（生命科学学院团委，2024年4月）+6
2.优秀学生（沈阳师范大学，2023年12月）+4
3.优秀学生干部（沈阳师范大学，2023年12月）+4
4.优秀团干部（沈阳师范大学，2024年4月）+4
5.励志成才大学生（沈阳师范大学，2024年6月）+4
7.第六届先锋学生会主要负责人（校团委，2024年3月）+4
8.“三下乡”社会实践活动优秀团队成员（校团委，2023年12月）+2
9.2023年迎新（生命科学学院团委，2023年9月）+0.5优秀实习生+4</t>
  </si>
  <si>
    <t>生命科学学院二班寝室长（2021年9月）+2</t>
  </si>
  <si>
    <t>生命科学学院21级二班寝室长（生命科学学院，2021年9月)+2</t>
  </si>
  <si>
    <t>社团副职负责人</t>
  </si>
  <si>
    <t xml:space="preserve">1.班委易班负责人+2
2.2023级助理辅导员+1
3.迎2023级志愿活动+0.5
4.2023级新生联欢活动+0.5
</t>
  </si>
  <si>
    <t>2023年8月云支教活动</t>
  </si>
  <si>
    <t>图书馆志愿者</t>
  </si>
  <si>
    <t>1.心理委员 2
2.优秀学生干部 4
3.担任2023级新生助导 1
4.云支教活动 0.5
6.团档案核查 0.5
7.毕业生就业核查 0.5
8.云端相伴志愿者 0.5
9.图书馆志愿者 0.5</t>
  </si>
  <si>
    <t>2023年“迎新生”志愿活动</t>
  </si>
  <si>
    <t>图书馆志愿者2024+0.5</t>
  </si>
  <si>
    <t>1.学委+2 
2.图书馆志愿者+0.5</t>
  </si>
  <si>
    <t>1.寝室长+2
2.2023年9月迎新生志愿者+0.5
3.2023年9月“云端相伴”志愿者+0.5
4.2023年10月沈阳师范大学献血周献血志愿者+0.5  
5.2024年8月校团委节粮学习 传统美德志愿者+0.5</t>
  </si>
  <si>
    <t>1.2023级新生助理辅导员+1 
2.2023年迎新生志愿活动+0.5
3.第十四届古生物博物馆志愿者+0.5
4.2024年8月参与参与节粮学习传统美德的线上志愿活动+0.5</t>
  </si>
  <si>
    <t>2023年迎新生 0.5
棋类社团成员 1
大学生就业之家打电话 0.5</t>
  </si>
  <si>
    <t>1.院学生会主席团执行主席+8
2.2023年12月运动会物品筹备志愿活动+0.5
3.2023年12月运动会节目表演及打扫场地志愿活动+0.5
4.2023年12月运动会安全保障志愿活动+0.5
5.2023年9月迎新生志愿活动+0.5
6.2024年3月沈阳师范大学第六届“先锋学生会”集体荣誉称号主要负责人+4
7.2023年12月优秀学生干部+4
8.2023年9月暑假云端相伴志愿活动+0.5</t>
  </si>
  <si>
    <t>班长+4</t>
  </si>
  <si>
    <t>1.寝室长+2
2.社会实践活动+0.5</t>
  </si>
  <si>
    <t>1.寝室长+2
2.2023级运动会场地打扫志愿</t>
  </si>
  <si>
    <t>校级团支部（沈阳师范大学，2024年4月）＋2
优秀寝室（沈阳师范大学，2024年4月）＋2</t>
  </si>
  <si>
    <t>1. 寝室长＋2
2. 2024年4月，优秀寝室，负责人＋4
3.2024年4月，先进团支部，班级成员＋2
4.2023年10月，学管会志愿者＋0.5
5.2024年7月，毕业生信息回访志愿者＋0.5</t>
  </si>
  <si>
    <t>1. 新闻中心阳光广播台副职负责人＋6
2. 2024年4月，优秀寝室，团队成员＋2
3.2024年4月，先进团支部，班级成员＋2
4.2023年10月，学管会志愿者＋0.5</t>
  </si>
  <si>
    <t>1.校本科教学质量监控学生管委会主任 +6 
2.2022-2023年优秀学生（沈阳师范大学，2023年12月），+4
3.2022-2023年优秀学生干部（沈阳师范大学，2023年12月），+4
4.2024年4月，优秀寝室，成员＋2
5.2024年，先进团支部，班级成员＋2
6.2024年3月，本科教学质量监控学生管委会志愿服务，+0.5
7.2023年10月，本科教学质量监控学生管委会志愿服务，+0.5
8.2023年，暑期志愿服务活动，+0.5</t>
  </si>
  <si>
    <t>1.生命科学学院易班工作站站长+5
2.2024年4月沈阳师范大学先进团支部主要负责人+4
3.暑假云端相伴志愿活动+0.5
4.2024年8月学节粮知识，传中华美德志愿活动+0.5
6.2024年5月五一社会实践志愿活动+0.5</t>
  </si>
  <si>
    <t>1.春芽行动公益协会副会长+4 
2.2021级生物科学四班团支部沈阳师范大学先进团支部+2</t>
  </si>
  <si>
    <t>1.班级学习委员+2
2.2023年新生助理辅导员+1
3.2024年第九届教师技能培训会参与者+0.5
8.暑假云端相伴志愿者+0.5
9.生命科学学院"迎新生"志愿活动志愿者 +0.5
10.沈阳师范大学先进团支部，+4</t>
  </si>
  <si>
    <t>1.寝室长+2</t>
  </si>
  <si>
    <t>1.校级优秀团支部班级成员+2</t>
  </si>
  <si>
    <t>1.寝室长+2
2.校优秀团支部班级成员+2</t>
  </si>
  <si>
    <t>1返家乡+0.5
2古生物博物馆志愿补录+0.5
3古生物博物馆志愿补录+0.5
4古生物博物馆志愿补录+0.5
5古生物博物馆鞍山志愿补录+0.5</t>
  </si>
  <si>
    <t>1.心理委员+2
2.返家乡+0.5
3.2023暑期社会实践+0.5</t>
  </si>
  <si>
    <t>1.2023年大学生暑期社会实践活动+0.5   
2.2024年4月沈阳师范大学先进团支部班级成员+2</t>
  </si>
  <si>
    <t>1.寝室长+2
2.2023年暑期社会实践+0.5
3.校优秀团支部班级成员+2</t>
  </si>
  <si>
    <t>1.寝室长+2 2.校优秀团支部班级成员+2</t>
  </si>
  <si>
    <t>1.沈阳师范大学新闻中心综合事务部副部长+4
2.沈阳师范大学先进团支部成员+2</t>
  </si>
  <si>
    <t>1.2021级4班团支书+4
2.2023年12月优秀学生干部+4
3.2024年沈阳师范大学先进团支部+4
4.学节粮知识，传中华美德志愿活动+0.5
5.关爱帮扶贫困儿童主题活动+0.5
9.大学生返家乡寒假志愿活动+2 
＋0.5</t>
  </si>
  <si>
    <t>1.2024年4月沈阳师范大学校级先进团支部班级成员+2
2.2024年3-7月图书馆志愿服务工作+0.5
3.2023年9月-2024年1月图书馆志愿服务工作+0.5
4.2024年“学节粮知识，传中华美德”公益志愿活动+0.5</t>
  </si>
  <si>
    <t>沈阳师范大学生科四班文体委员</t>
  </si>
  <si>
    <t>1.校级先进团支部班级成员+2
2.2023年9月-2024年1月图书馆志愿服务工作+0.5
3.2024年3月-7月图书馆志愿服务工作+0.5
4.2024年“学节粮知识，传中华美德”公益志愿活动+0.5</t>
  </si>
  <si>
    <t>1.2021级生科四班生活委员+2
2.2024年4月沈阳师范大学先进团支部成员+4
3.2023级新生助理辅导员+1
4.2023年暑假“返家乡”社会实践一起云支教专项活动志愿者+0.5
5.2024年生命科学学院“迎新生”志愿活动志愿者+0.5
6.2023年6月-2024年1月校图书馆志愿者+0.5
7.2024年3月-2024年7月校图书馆志愿者+0.5</t>
  </si>
  <si>
    <t>1.寝室长+2  
2.2024年寒假“返家乡”社会实践活动+0.5 
3.校级先进团支部班级成员+2</t>
  </si>
  <si>
    <t>1.校级先进团支部班级成员+2  
2.志愿献血 +0.5  
3.社区志愿服务 +0.5  
4.毕业生工作志愿服务+0.5</t>
  </si>
  <si>
    <t xml:space="preserve">1. 2023年沈阳师范大学先进班集体标兵暨“学风建设”好班级+2
2. 2023年沈阳师范大学创新团支部+2"     
</t>
  </si>
  <si>
    <t>1.沈阳师范大学生命科学学院团委副书记 8
2.2023.11 2023年沈阳师范大学创新团支（主要负责人）4
 3.2023.11 2023年沈阳师范大学先进班集体（主要负责人）4
4.2023.12 2023年沈阳师范大学返家乡社会实践活动优秀个人4
 5.2023.12 沈阳师范大学三下乡社会实践活动先进个人4
 6.2023.12 沈阳师范大学优秀学生4
 7.2023.12 沈阳师范大学优秀学生干部4
 8.2023.12 沈阳师范大学三下乡优秀团队（主要负责人）4
 9.2024.06 沈阳师范大学2024年寒假返家乡先进个人4
 10.2024.06 沈阳师范大学2024年寒假社会实践优秀团队4
 11.2024.06 沈阳师范大学优秀大学生党员4</t>
  </si>
  <si>
    <t>1.春芽行动公益协会负责人＋5
2.2023年12月沈阳师范大学大学生暑期“”下乡”社会实践活动校级优秀团队＋2
3.2024年2月寒假返家乡社会实践活动＋0.5
4.2023年11月沈阳师范大学创新团支部＋2
5.2023年12月沈阳师范大学先进班集体标兵＋2
6.2024年6月沈阳师范大学大学生寒假社会实践校级优秀团队＋2</t>
  </si>
  <si>
    <t>1. 2023年沈阳师范大学先进班集体标兵暨“学风建设”好班级+2
2. 2023年11月沈阳师范大学创新团支部+2
3.优秀实习生+4</t>
  </si>
  <si>
    <t>1. 2023年沈阳师范大学先进班集体标兵暨“学风建设”好班级
2. 2023年11月沈阳师范大学创新团支部</t>
  </si>
  <si>
    <t>1、寝室长+2
2、优秀寝室+4
3、先进班集体成员+2
4、创新团支部成员+2
5、2024年1月-2月志愿时长60+  +0.5
6、2024年6月-8月志愿时长60+   +0.5</t>
  </si>
  <si>
    <t>1.生科五班易班负责人＋2
2. 2023年沈阳师范大学先进班集体标兵暨“学风建设”好班级（负责人）＋4
3. 2023年11月沈阳师范大学创新团支部（负责人）＋4</t>
  </si>
  <si>
    <t>1. 2023年沈阳师范大学先进班集体标兵暨“学风建设”好班级+2
2. 2023年沈阳师范大学创新团支部+2"</t>
  </si>
  <si>
    <t>1.优秀学生 4
2.优秀学生干部 4
3.优秀团员 4
4.励志成才大学生 4
5.先进班集体标兵 4
6.创新团支部 4
7.优秀寝室 2
8.志愿时长 1
9.社会实践 0.5
10.优秀实习生 4
11.班长 4     志愿服务两次＋1.5  社会实践优秀团队成员＋2</t>
  </si>
  <si>
    <t>1. 2023年沈阳师范大学先进班集体标兵暨“学风建设”好班级
2. 2023年11月沈阳师范大学创新团支部    3寝室长</t>
  </si>
  <si>
    <t xml:space="preserve">1.寝室长
2. 2023年沈阳师范大学先进班集体标兵暨“学风建设”好班级
3. 2023年11月沈阳师范大学创新团支部"     </t>
  </si>
  <si>
    <t>1.本科教学质量监控学生管委会网宣部主任 6
2.沈阳师范大学大学生暑期“三下乡”社会实践活动优秀团队 2
3. 2023年沈阳师范大学先进班集体标兵暨“学风建设”好班级 2
4. 2023年11月沈阳师范大学创新团支部" 2</t>
  </si>
  <si>
    <t>"1. 2023年沈阳师范大学先进班集体标兵暨“学风建设”好班级
2. 2023年11月沈阳师范大学创新团支部"</t>
  </si>
  <si>
    <t>1. 2023年沈阳师范大学先进班集体标兵暨“学风建设”好班级
2. 2023年11月沈阳师范大学创新团支部"</t>
  </si>
  <si>
    <t>1.讲辩协会会长+5
2.优秀学生干部+4
3.新生助理辅导员+1
4.迎新生志愿活动+0.5
5. 先进班集体标兵暨学风建设好班级 成员+2
6.创新团支部 成员+2</t>
  </si>
  <si>
    <t>1.校大学生自管会主任+8
2.沈阳师范大学优秀寝室（沈阳师范大学，2024年4月）+2
3.沈阳师范大学先进团支部（校团委，2024年4月）+4
4.沈阳师范大学优秀团干部（校团委，2024年4月）+4
5.沈阳师范大学优秀学生（沈阳师范大学，2023年12月）+4
6.沈阳师范大学优秀学生干部（沈阳师范大学，2023年12月）+4
7.沈阳师范大学优秀自管会干部（沈阳师范大学，2023年10月）+4
8.2024寒假返家乡（共青团锦州市委员会，2024年2月）+0.5
9.志愿时长60h（锦州市妇女联合会，2024年2月）+0.5
10.志愿服务活动“扫雪”（学生处，2023年11月）+0.5
11.沈阳师范大学三下乡优秀团队（校团委，2023年12月）+2
12.沈阳师范大学三下乡优秀团队（校团委，2024年6月）+2
13.2024寒假三下乡活动（沈阳师范大学，2024年2月）+0.5
14.沈阳师范大学先进班集体标兵暨学风建设好班级（沈阳师范大学，2023年12月）+4</t>
  </si>
  <si>
    <t>1. 寝室长+2
2. 2023年11月沈阳师范大学创新团支部+2
3. 2023年12月沈阳师范大学先进班集体标兵+2</t>
  </si>
  <si>
    <t>生物科学五班生活委员+2；
2024年沈阳师范大学寒假社会实践活动+0.5；
2024年暑假社会实践活动+0.5；
优秀学生+4；
2023年寒假社会实践活动+0.5；
2023寒假返家乡+0.5；
先进班级体标兵+4；
优秀寝室+4；
创新团支部+4   返家乡优秀团队 ＋4</t>
  </si>
  <si>
    <t>野生动物保护协会副会长+4
新生助理辅导员+1
沈阳师范大学2023年创新团支部+2
先进班集体暨学风建设好班级+2</t>
  </si>
  <si>
    <t>1.21级生科五班团支书 +4 2.2023年12月沈阳师范大学优秀学生干部 +4  3.2024年4月校团委沈阳师范大学创新团支部+4 4.2023年12月沈阳师范大学先进班集体标兵暨学风建设好班级 +4 5.2024年6月沈阳师范大学优秀实习生 +4  志愿服务3次＋1.5</t>
  </si>
  <si>
    <t>1. 2023年沈阳师范大学先进班集体标兵暨“学风建设”好班级
2. 2023年11月沈阳师范大学创新团支部" 
3.2024年2月村委志愿服务活动</t>
  </si>
  <si>
    <t xml:space="preserve">1. 2023年沈阳师范大学先进班集体标兵暨“学风建设”好班级+2
2. 2023年11月沈阳师范大学创新团支部+2
3.寝室长 +2  4.优秀实习生+4
</t>
  </si>
  <si>
    <t>1.2023年4月生命科学学院学生会主席团成员 +6分
2.2023年12月沈阳师范大学大学生暑期“三下乡”社会实践活动优秀团队 +2分
3.2023年11月沈阳师范大学创新团支部（负责人）+4分
4.2023年12月运动物品筹备志愿活动 +0.5分
5.2023年12月迎新生志愿活动 +0.5分
6.2023年12月运动会节目表演及打扫场地志愿活动+0.5分
7.2023年12月运动会安全保障志愿活动+0.5分
8.2024年3月第六届先锋学生会（负责人）+4分
9.2024年3月沈阳师范大学“网上共青团”团属宣传阵地先锋单位（负责人）+4分
10.2023年12月沈阳师范大学先进班集体标兵暨“学风建设”好班级（负责人）+4分
11.2024年6月大学生寒假社会实践活动优秀团队+2分 12.2023年12月暑期三下乡活动+0.5分13.2023年12月寒假三下乡活动+0.5分</t>
  </si>
  <si>
    <t xml:space="preserve"> </t>
  </si>
  <si>
    <t>1. 2023年沈阳师范大学先进班集体标兵暨“学风建设”好班级+2
2. 2023年11月沈阳师范大学创新团支部+2</t>
  </si>
  <si>
    <t>生命科学学院本科学生2022-2023学年综合素质测评结果文体测评成绩</t>
  </si>
  <si>
    <t>基础分（满分50）</t>
  </si>
  <si>
    <t>奖励分（满分50）</t>
  </si>
  <si>
    <t>文体测评得分</t>
  </si>
  <si>
    <t>文体测评排名</t>
  </si>
  <si>
    <t>青春领航校二等奖负责人+8</t>
  </si>
  <si>
    <t>沈阳师范大学青春领航工程“拾落叶触秋意，制贴画SHOW生命”校级二等奖 +4</t>
  </si>
  <si>
    <t>2023年（第五届）沈阳师范大学本科师范生微课设计竞赛校级三等奖+6
2023年沈阳师范大学校园文化青春领航工程“弘扬抗美援朝精神，传承革命红色基因”校级二等奖+8
沈阳师范大学青春领航工程“拾落叶触秋意，制贴画SHOW生命”校级二等奖 +4</t>
  </si>
  <si>
    <t>沈阳师范大学首届三棋赛象棋男子第一名（棋类联盟，2024.3）+10</t>
  </si>
  <si>
    <t>2023年沈阳师范大学本科师范生微课设计竞赛一等奖+10</t>
  </si>
  <si>
    <t>2023年沈阳师范大学本科师范生微课设计竞赛三等奖+3</t>
  </si>
  <si>
    <t>辽宁省书法大赛省级一等奖+20
三笔字大赛校级二等奖+8
2023年沈阳师范大学青春领航工程“拾落叶触秋意，制贴画SHOW生命”校级二等奖 +8
第五届新媒体大赛校级优秀奖+1</t>
  </si>
  <si>
    <t>1.2023年（第五届）沈阳师范大学本科师范生微课设计竞赛校级三等奖+3
2.沈阳师范大学青春领航工程“拾落叶触秋意，制贴画SHOW生命”校级二等奖 +4
3.沈阳师范大学党史知识竞赛校级二等奖  +8</t>
  </si>
  <si>
    <t>1.2023年（第五届）沈阳师范大学本科师范生微课设计竞赛校级三等奖+3</t>
  </si>
  <si>
    <t>2023年（第五届）沈阳师范大学本科师范生微课设计竞赛三等奖组长+6</t>
  </si>
  <si>
    <r>
      <rPr>
        <sz val="14"/>
        <color rgb="FF000000"/>
        <rFont val="宋体"/>
        <charset val="134"/>
      </rPr>
      <t>1.沈阳师范大学“迎新杯”乒乓球女子单打比赛优秀奖</t>
    </r>
    <r>
      <rPr>
        <sz val="14"/>
        <color rgb="FF000000"/>
        <rFont val="Segoe UI Emoji"/>
        <charset val="134"/>
      </rPr>
      <t>➕</t>
    </r>
    <r>
      <rPr>
        <sz val="14"/>
        <color rgb="FF000000"/>
        <rFont val="宋体"/>
        <charset val="134"/>
      </rPr>
      <t>1  
2.沈阳师范大学“迎新杯”乒乓球混合双打比赛第三名</t>
    </r>
    <r>
      <rPr>
        <sz val="14"/>
        <color rgb="FF000000"/>
        <rFont val="Segoe UI Emoji"/>
        <charset val="134"/>
      </rPr>
      <t>➕</t>
    </r>
    <r>
      <rPr>
        <sz val="14"/>
        <color rgb="FF000000"/>
        <rFont val="宋体"/>
        <charset val="134"/>
      </rPr>
      <t>7  
3.沈阳师范大学“迎新杯”乒乓球女子团体比赛道德风尚奖</t>
    </r>
    <r>
      <rPr>
        <sz val="14"/>
        <color rgb="FF000000"/>
        <rFont val="Segoe UI Emoji"/>
        <charset val="134"/>
      </rPr>
      <t>➕</t>
    </r>
    <r>
      <rPr>
        <sz val="14"/>
        <color rgb="FF000000"/>
        <rFont val="宋体"/>
        <charset val="134"/>
      </rPr>
      <t>1</t>
    </r>
  </si>
  <si>
    <t xml:space="preserve">1.沈阳师范大学“墨香溢四月 ‘佳’书抵万金”主题朗读赛道校级二等奖 （教学质量监控与评估处，2024.5）+4
2023.11辽宁省第四届产教融合创新创意项目大赛省级三等奖（辽宁省教育厅，2023.11）+6
2023.12第四届辽宁省大学生电竞主播大赛省级优秀奖（辽宁省教育厅，2023.12）+1
2023.12沈阳师范大学2023校园青春领航“弘扬雷锋精神，做时代新人”第五届大学生PPT设计大赛校级优秀奖（校团委，2023.12）+0.5
</t>
  </si>
  <si>
    <t>1.沈阳师范大学青春领航模拟政协征集活动校级选拔赛三等奖（校团委，2023.12）+6
2.沈阳师范大学模拟政协大赛团体三等奖负责人（校团委，2024.3）+6</t>
  </si>
  <si>
    <t>1.沈阳师范大学青春领航“拾落叶触秋意，制贴画SHOW生命”一等奖/第一名（校团委，颁奖日期）+5
2.2023 年(第五届)沈阳师范大学本科师范生微课设计竞赛二等奖/第3名（教务处，2023年12月）+4</t>
  </si>
  <si>
    <t>1.沈阳师范大学青春领航“贯彻党的二十大精神主题征文活动”一等奖（校团委，2023年12月）+10
2.沈阳师范大学师范生微课设计竞赛一等奖（沈阳师范大学教务处，2023年12月）+10
3.沈阳师范大学青春领航“秋叶贴画DIY创意制作大赛”一等奖（校团委，2023年12月）+5
4.沈阳师范大学青春领航“青创先锋”创新创业活动二等奖（校团委，2023年12月）+8
5.沈阳师范大学青春领航“明日之师”模拟授课大赛动二等奖（校团委，2023年12月）+8
7.沈阳师范大学第计算机设计竞赛校级三等奖（沈阳师范大学教务处，2024年4月）+6
8.沈阳师范大学青春领航“巧具名师”教具大赛三等奖（校团委，2023年12月）+3
9.沈阳师范大学青春领航“环保科普志愿行”地球徽章设计大赛三等奖（校团委，2023年12月）+3</t>
  </si>
  <si>
    <t>2023年(第五届)沈阳师范大学本科师范生微课设计竞赛二等奖（教务处和大创 2023.12）+4</t>
  </si>
  <si>
    <t>2023年(第五届)沈阳师范大学本科师范生微课设计竞赛二等奖（教务处和大创 2023.12）+8</t>
  </si>
  <si>
    <t>2024年沈阳师范大学三棋赛五子棋组男团第一</t>
  </si>
  <si>
    <t>1.校“墨香溢四月‘佳’书抵万金”朗读赛道二等奖+4  2.2023年10月校趣味运动会参与者+1</t>
  </si>
  <si>
    <t>2023年10月校趣味运动会会参与者+1</t>
  </si>
  <si>
    <t>2024年3月，沈阳师范大学首届三棋赛象棋赛女子组第五名</t>
  </si>
  <si>
    <t>1.沈阳师范大学2023年校园文化青春领航工程“巧具名师’教具制作大赛三等奖（沈阳师范大学委员会，2023年12月）+3
2.辽宁省中小学师生书法大赛二等奖（辽宁省教育厅，2023年10月）+16
3.沈阳师范大学2023年校园文化青春领航工程“拾落叶触秋意，制贴画SHOW生命”秋叶贴画DIY创意制作大赛一等奖（沈阳师范大学委员会，2023年12月）+15</t>
  </si>
  <si>
    <t>2023年(第五届)沈阳师范大学本科师范生微课设计竞赛二等奖(教务处和大创，2023年12月)＋4</t>
  </si>
  <si>
    <t xml:space="preserve">1.沈阳师范大学三棋赛女子组团体第二名
</t>
  </si>
  <si>
    <t>沈阳师范大学第二届围棋比赛女子组优秀奖</t>
  </si>
  <si>
    <t>1. 2023年11月，“学无止境，智绘未来”logo设计大赛，校级一等奖，团队成员＋5</t>
  </si>
  <si>
    <t>1. 2023年11月，“学无止境，智绘未来”logo设计大赛，校级一等奖，团队成员＋5
2. 2024年5月，朗读比赛，校级二等奖，团队成员＋4</t>
  </si>
  <si>
    <t>1. 2023年11月，logo设计大赛，校级一等奖，团队成员＋5</t>
  </si>
  <si>
    <t xml:space="preserve">1.2023年11月，沈阳师范大学“学无止境，智“绘’未来”l0go 设计大赛，校赛一等奖，负责人，+10
2.2024年5月，沈阳师范大学读书月活动手抄报设计赛道，校赛优秀奖，+1
3.2024年5月，沈阳师范大学读书月活动朗读赛道，校赛二等奖，负责人，+8
4.2024年5月，沈阳师范大学读书月活动PPT制作赛道，校赛二等奖，负责人，+8
</t>
  </si>
  <si>
    <t>1.2024年4月沈阳师范大学计划书大赛 校级一等奖+5
2.2023年12月第五届沈阳师范大学师范生微课设计大赛 校级二等奖+4
3.2023年12月校园文化青春领航地球徽章设计大赛 校级二等奖负责人+8
4.2023年12月校园文化青春领航秋叶贴画大赛 校级二等奖负责人+8
6.2023年10月辽宁省大学生数字影像大赛 省级二等奖+8
7.2023年11月沈阳师范大学阅读之星 校级优秀奖+1
8.2023年11月沈阳师范大学第十二届家教之星 校级优秀教案奖+1
9.2023年11月沈阳师范大学“一站式”学生logo设计大赛 校级优秀奖 团队成员+0.5</t>
  </si>
  <si>
    <t>1.沈阳师范大学2023年校园文化青春领航工程“拾落叶触秋意，制贴画SHOW生命”秋叶贴画DIY创意制作大赛三等奖+3
2.2024年创新创业协会计划书大赛一等奖+5
3.沈阳师范大学2023年校园文化青春领航工程:“笔尖绘梦生新意，绿色践行正当时”地球徽章设计大赛二等奖+4</t>
  </si>
  <si>
    <t>1.2024年校园文化青春领航工程之“赓续自强不息师风，强筑砥砺奋进学魂” 科学家精神主题活动三等奖，+6
2.2023年校园文化青春领航工程”拾落叶触秋意，制贴画SHOW生命”秋叶贴画DIY创意制作大赛三等奖，+3</t>
  </si>
  <si>
    <t>1.女篮第三名+7 2.女排第一名+10 3.沈阳市高校大学生台球邀请赛女子组冠军+10</t>
  </si>
  <si>
    <t>1.沈阳师范大学第五届新媒体大赛 校级二等奖+8
2.沈阳师范大学2023年校园文化青春领航工程 校级二等奖+8
3.沈阳师范大学2023年党史知识竞赛三等奖+6
4.2024年沈阳师范大学廉洁文化作品三等奖+3
5.第十二届家教之星优秀教案奖+1
6.沈阳师范大学创意环保书签设计大赛校级三等奖+8</t>
  </si>
  <si>
    <t>1.沈阳师范大学青春领航“拾落叶触秋意，制贴画SHOW生命”校级一等奖 ＋5</t>
  </si>
  <si>
    <t>2023年11月“拾落叶触秋意，制贴画SHOW生命”秋叶贴画DIY创意制作大赛校级优秀奖 +1</t>
  </si>
  <si>
    <t>1.2023.11 沈阳师范大学“学无止境 智绘未来”Logo设计大赛（校级二等奖）4
2.2023.12沈阳师范大学2023年校园文化青春领航工程“巧具名师”教具制作大赛（校级一等奖）5
3.2023.12 沈阳师范大学2023年校园文化青春领航工程地球徽章设计大赛（校级一等奖）10
4.2023.12 沈阳师范大学2023年校园文化青春领航秋叶贴画DIY创意制作大赛（校级一等奖）5
5.2023.12 沈阳师范大学安全稳定我践行小视频创意大赛（校级一等奖）5
6.2023.12 沈阳师范大学2023年校园文化青春领航工程微课设计大赛（校级二等奖）8
7.2023.12 第五届沈阳师范大学本科师范生微课设计竞赛（校级三等奖）3
8.2023.12 沈阳师范大学本科师范生教学设计竞赛（校级三等奖）3                                       9。2023.11 辽宁省创新创意竞赛三等奖</t>
  </si>
  <si>
    <t>1.2023年12月沈阳师范大学本科师范生微课设计竞赛校级二等奖＋8
3.2023年12月沈阳师范大学校园文化青春领航工程第五届“小视频 大世界”微课设计大赛校级二等奖＋8
4.2023年12月沈阳师范大学校园文化青春；领航工程“笔尖绘梦生新意，绿色践行正当时”地球徽章设计大赛校级三等奖＋6
5.2023年12月沈阳师范大学校园文化青春领航工程“巧具名师”教具制作大赛校级三等奖＋3
6.2023年12月沈阳师范大学校园文化青春领航工程“拾落叶触秋意，制贴画SHOW生命”秋叶贴画DIY创意制作大赛校级一等奖＋5
7.2024年4月沈阳师范大学计算机设计竞赛校级三等奖＋3
8.2023年12月“安全稳定我践行”创意短视频大赛校级一等奖＋5</t>
  </si>
  <si>
    <t>1. 2023年11月沈阳师范大学“学无止境，智绘未来”logo设计大赛校级二等奖+4
2. 2023年12月“巧具名师”教具制作大赛校级三等奖 +3</t>
  </si>
  <si>
    <t>1、寝室文明公约校三等奖+6
2、青春领航校二等奖+4</t>
  </si>
  <si>
    <t>1.2023年地球徽章设计大赛校级三等奖+3
2.2023年秋叶贴画DIY创意制作大赛校级二等奖+4</t>
  </si>
  <si>
    <t>2023秋叶贴画DIY创意制作大赛校级三等奖+6</t>
  </si>
  <si>
    <t>1.2023年秋叶贴画DIY创意制作大赛校级二等奖+4
2.2023年地球徽章设计大赛校级三等奖+3</t>
  </si>
  <si>
    <t>1.计算机设计竞赛校三 3
2.寝室文明公约校三 6
3.青春领航校二 8
4.计算机设计竞赛校三（2） 6
5.新媒体大赛校一 10
6.廉洁文化作品院一 5
7.中国音乐学院艺术展演 辽宁考区金奖 20</t>
  </si>
  <si>
    <t>1 2023年秋叶贴画DIY创意制作大赛校级三等奖＋6  2沈阳师范大学学无止境智慧未来logo设计大赛校级三等奖＋3</t>
  </si>
  <si>
    <t>1.“拾落叶触秋意，制贴画SHOW生命”秋叶贴画DIY创意制作大赛校级三等奖 3
2.“学无止境，智‘绘’未来”logo设计大赛校级一等奖 5
3.“墨香溢四月 ‘佳’书抵万金”活动PPT制作赛道校级一等奖 5
4.“墨香溢四月 ‘佳’书抵万金”活动朗读赛道校级二等奖 4</t>
  </si>
  <si>
    <t>2024年沈师“挑战杯”竞赛校级二等奖</t>
  </si>
  <si>
    <t>贴画比赛 校级优秀奖 ＋0.5</t>
  </si>
  <si>
    <t>2023.11 沈阳师范大学“学无止境 智绘未来”Logo设计大赛（校级二等奖）4</t>
  </si>
  <si>
    <t>1.“拾落叶触秋意，制贴画SHOW生命”秋叶贴画DIY创意制作大赛校级一等奖（校团委，2023年12月）+5
2.“安全稳定我践行”创意短视频大赛校级一等奖（学生处，2023年12月）+5
3.“笔尖绘梦生新意，绿色践行正当时”地球徽章设计大赛校级三等奖（校团委，2023年12月）+3
4.“宿”说文明，“约定美好”寝室文明公约评选校级三等奖（学生处，2024年6月）+3
5.2023年沈阳师范大学第五届师范生微课设计竞赛校级三等奖（大学生创新创业中心，2023年12月）+3
6.沈阳师范大学“一站式”学生社区LOGO征集活动校级优秀奖（学生处，2023年11月）+1</t>
  </si>
  <si>
    <t>1.2023年12月沈阳师范大学本科师范生微课设计竞赛校级二等奖+4 
2. 2023年12月沈阳师范大学校园文化青春领航工程第五届“小视频 大世界”微课设计大赛校级二等奖。+4
3.2023年12月沈阳师范大学校园文化青春；领航工程“笔尖绘梦生新意，绿色践行正当时”地球徽章设计大赛校级三等奖+3
4.2023年12月沈阳师范大学校园文化青春领航工程秋叶DIY创意制作大赛二等奖+8</t>
  </si>
  <si>
    <t>2023年12月第二节辽宁省大学生戏曲文化创新创意大赛负责人省级三等奖+12；青春领航校二等奖+4；寝室文明公约校三等奖＋3</t>
  </si>
  <si>
    <t>1.1.2023年秋叶贴画DIY创意制作大赛校级优秀奖+1</t>
  </si>
  <si>
    <t>2024第十九届校级运动会龟兔赛跑参与者</t>
  </si>
  <si>
    <t>1.2024年3月生命科学学院廉洁文化作品院级一等奖+2.5
2.2023年12月地球徽章设计大赛校级一等奖+5
3.2023年12月微课设计大赛校级二等奖+4
4.2023年11月沈阳师范大学“学无止境，智绘未来”logo设计大赛校级二等奖（负责人）+8
5.2023年12月“巧具名师”教具制作大赛校级三等奖（负责人）+6
6.2023年11月第十二届家教之星校级二等奖（负责人）+8
7.2023年12月秋叶贴画DIY创意制作大赛校级一等奖+5</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</si>
</sst>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yyyy&quot;年&quot;m&quot;月&quot;d&quot;日&quot;;@"/>
    <numFmt numFmtId="177" formatCode="0.00_ "/>
    <numFmt numFmtId="178" formatCode="0.0_ "/>
  </numFmts>
  <fonts count="39">
    <font>
      <sz val="11"/>
      <color theme="1"/>
      <name val="微软雅黑 Light"/>
      <charset val="134"/>
    </font>
    <font>
      <b/>
      <sz val="18"/>
      <color rgb="FF000000"/>
      <name val="宋体"/>
      <charset val="134"/>
    </font>
    <font>
      <sz val="14"/>
      <color rgb="FF000000"/>
      <name val="宋体"/>
      <charset val="134"/>
    </font>
    <font>
      <b/>
      <sz val="14"/>
      <color rgb="FF000000"/>
      <name val="宋体"/>
      <charset val="134"/>
    </font>
    <font>
      <sz val="14"/>
      <color theme="1"/>
      <name val="宋体"/>
      <charset val="134"/>
    </font>
    <font>
      <sz val="14"/>
      <color theme="1"/>
      <name val="微软雅黑 Light"/>
      <charset val="134"/>
    </font>
    <font>
      <sz val="14"/>
      <color theme="1"/>
      <name val="等线"/>
      <charset val="134"/>
      <scheme val="minor"/>
    </font>
    <font>
      <sz val="11"/>
      <color theme="1"/>
      <name val="等线"/>
      <charset val="134"/>
      <scheme val="minor"/>
    </font>
    <font>
      <sz val="10"/>
      <color theme="1"/>
      <name val="宋体"/>
      <charset val="134"/>
    </font>
    <font>
      <sz val="16"/>
      <color rgb="FF000000"/>
      <name val="宋体"/>
      <charset val="134"/>
    </font>
    <font>
      <sz val="10"/>
      <color rgb="FF000000"/>
      <name val="宋体"/>
      <charset val="134"/>
    </font>
    <font>
      <sz val="14"/>
      <name val="宋体"/>
      <charset val="134"/>
    </font>
    <font>
      <sz val="16"/>
      <color theme="1"/>
      <name val="微软雅黑 Light"/>
      <charset val="134"/>
    </font>
    <font>
      <sz val="16"/>
      <color theme="1"/>
      <name val="等线"/>
      <charset val="134"/>
      <scheme val="minor"/>
    </font>
    <font>
      <sz val="16"/>
      <color theme="1"/>
      <name val="宋体"/>
      <charset val="134"/>
    </font>
    <font>
      <sz val="16"/>
      <name val="宋体"/>
      <charset val="134"/>
    </font>
    <font>
      <b/>
      <sz val="16"/>
      <color rgb="FF000000"/>
      <name val="宋体"/>
      <charset val="134"/>
    </font>
    <font>
      <sz val="11"/>
      <color rgb="FF000000"/>
      <name val="微软雅黑 Light"/>
      <charset val="134"/>
    </font>
    <font>
      <sz val="10"/>
      <name val="宋体"/>
      <charset val="134"/>
    </font>
    <font>
      <u/>
      <sz val="11"/>
      <color rgb="FF0000FF"/>
      <name val="等线"/>
      <charset val="0"/>
      <scheme val="minor"/>
    </font>
    <font>
      <u/>
      <sz val="11"/>
      <color rgb="FF800080"/>
      <name val="等线"/>
      <charset val="0"/>
      <scheme val="minor"/>
    </font>
    <font>
      <sz val="11"/>
      <color rgb="FFFF0000"/>
      <name val="等线"/>
      <charset val="0"/>
      <scheme val="minor"/>
    </font>
    <font>
      <b/>
      <sz val="18"/>
      <color theme="3"/>
      <name val="等线"/>
      <charset val="134"/>
      <scheme val="minor"/>
    </font>
    <font>
      <i/>
      <sz val="11"/>
      <color rgb="FF7F7F7F"/>
      <name val="等线"/>
      <charset val="0"/>
      <scheme val="minor"/>
    </font>
    <font>
      <b/>
      <sz val="15"/>
      <color theme="3"/>
      <name val="等线"/>
      <charset val="134"/>
      <scheme val="minor"/>
    </font>
    <font>
      <b/>
      <sz val="13"/>
      <color theme="3"/>
      <name val="等线"/>
      <charset val="134"/>
      <scheme val="minor"/>
    </font>
    <font>
      <b/>
      <sz val="11"/>
      <color theme="3"/>
      <name val="等线"/>
      <charset val="134"/>
      <scheme val="minor"/>
    </font>
    <font>
      <sz val="11"/>
      <color rgb="FF3F3F76"/>
      <name val="等线"/>
      <charset val="0"/>
      <scheme val="minor"/>
    </font>
    <font>
      <b/>
      <sz val="11"/>
      <color rgb="FF3F3F3F"/>
      <name val="等线"/>
      <charset val="0"/>
      <scheme val="minor"/>
    </font>
    <font>
      <b/>
      <sz val="11"/>
      <color rgb="FFFA7D00"/>
      <name val="等线"/>
      <charset val="0"/>
      <scheme val="minor"/>
    </font>
    <font>
      <b/>
      <sz val="11"/>
      <color rgb="FFFFFFFF"/>
      <name val="等线"/>
      <charset val="0"/>
      <scheme val="minor"/>
    </font>
    <font>
      <sz val="11"/>
      <color rgb="FFFA7D00"/>
      <name val="等线"/>
      <charset val="0"/>
      <scheme val="minor"/>
    </font>
    <font>
      <b/>
      <sz val="11"/>
      <color theme="1"/>
      <name val="等线"/>
      <charset val="0"/>
      <scheme val="minor"/>
    </font>
    <font>
      <sz val="11"/>
      <color rgb="FF006100"/>
      <name val="等线"/>
      <charset val="0"/>
      <scheme val="minor"/>
    </font>
    <font>
      <sz val="11"/>
      <color rgb="FF9C0006"/>
      <name val="等线"/>
      <charset val="0"/>
      <scheme val="minor"/>
    </font>
    <font>
      <sz val="11"/>
      <color rgb="FF9C6500"/>
      <name val="等线"/>
      <charset val="0"/>
      <scheme val="minor"/>
    </font>
    <font>
      <sz val="11"/>
      <color theme="0"/>
      <name val="等线"/>
      <charset val="0"/>
      <scheme val="minor"/>
    </font>
    <font>
      <sz val="11"/>
      <color theme="1"/>
      <name val="等线"/>
      <charset val="0"/>
      <scheme val="minor"/>
    </font>
    <font>
      <sz val="14"/>
      <color rgb="FF000000"/>
      <name val="Segoe UI Emoji"/>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6">
    <border>
      <left/>
      <right/>
      <top/>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style="thin">
        <color auto="1"/>
      </top>
      <bottom style="thin">
        <color auto="1"/>
      </bottom>
      <diagonal/>
    </border>
    <border>
      <left style="thin">
        <color rgb="FF000000"/>
      </left>
      <right style="thin">
        <color rgb="FF000000"/>
      </right>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7" fillId="0" borderId="0" applyFont="0" applyFill="0" applyBorder="0" applyAlignment="0" applyProtection="0">
      <alignment vertical="center"/>
    </xf>
    <xf numFmtId="44" fontId="7" fillId="0" borderId="0" applyFont="0" applyFill="0" applyBorder="0" applyAlignment="0" applyProtection="0">
      <alignment vertical="center"/>
    </xf>
    <xf numFmtId="9" fontId="7" fillId="0" borderId="0" applyFont="0" applyFill="0" applyBorder="0" applyAlignment="0" applyProtection="0">
      <alignment vertical="center"/>
    </xf>
    <xf numFmtId="41" fontId="7" fillId="0" borderId="0" applyFont="0" applyFill="0" applyBorder="0" applyAlignment="0" applyProtection="0">
      <alignment vertical="center"/>
    </xf>
    <xf numFmtId="42" fontId="7" fillId="0" borderId="0" applyFont="0" applyFill="0" applyBorder="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7" fillId="2" borderId="8" applyNumberFormat="0" applyFont="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9" applyNumberFormat="0" applyFill="0" applyAlignment="0" applyProtection="0">
      <alignment vertical="center"/>
    </xf>
    <xf numFmtId="0" fontId="25" fillId="0" borderId="9" applyNumberFormat="0" applyFill="0" applyAlignment="0" applyProtection="0">
      <alignment vertical="center"/>
    </xf>
    <xf numFmtId="0" fontId="26" fillId="0" borderId="10" applyNumberFormat="0" applyFill="0" applyAlignment="0" applyProtection="0">
      <alignment vertical="center"/>
    </xf>
    <xf numFmtId="0" fontId="26" fillId="0" borderId="0" applyNumberFormat="0" applyFill="0" applyBorder="0" applyAlignment="0" applyProtection="0">
      <alignment vertical="center"/>
    </xf>
    <xf numFmtId="0" fontId="27" fillId="3" borderId="11" applyNumberFormat="0" applyAlignment="0" applyProtection="0">
      <alignment vertical="center"/>
    </xf>
    <xf numFmtId="0" fontId="28" fillId="4" borderId="12" applyNumberFormat="0" applyAlignment="0" applyProtection="0">
      <alignment vertical="center"/>
    </xf>
    <xf numFmtId="0" fontId="29" fillId="4" borderId="11" applyNumberFormat="0" applyAlignment="0" applyProtection="0">
      <alignment vertical="center"/>
    </xf>
    <xf numFmtId="0" fontId="30" fillId="5" borderId="13" applyNumberFormat="0" applyAlignment="0" applyProtection="0">
      <alignment vertical="center"/>
    </xf>
    <xf numFmtId="0" fontId="31" fillId="0" borderId="14" applyNumberFormat="0" applyFill="0" applyAlignment="0" applyProtection="0">
      <alignment vertical="center"/>
    </xf>
    <xf numFmtId="0" fontId="32" fillId="0" borderId="15" applyNumberFormat="0" applyFill="0" applyAlignment="0" applyProtection="0">
      <alignment vertical="center"/>
    </xf>
    <xf numFmtId="0" fontId="33" fillId="6" borderId="0" applyNumberFormat="0" applyBorder="0" applyAlignment="0" applyProtection="0">
      <alignment vertical="center"/>
    </xf>
    <xf numFmtId="0" fontId="34" fillId="7" borderId="0" applyNumberFormat="0" applyBorder="0" applyAlignment="0" applyProtection="0">
      <alignment vertical="center"/>
    </xf>
    <xf numFmtId="0" fontId="35" fillId="8" borderId="0" applyNumberFormat="0" applyBorder="0" applyAlignment="0" applyProtection="0">
      <alignment vertical="center"/>
    </xf>
    <xf numFmtId="0" fontId="36" fillId="9" borderId="0" applyNumberFormat="0" applyBorder="0" applyAlignment="0" applyProtection="0">
      <alignment vertical="center"/>
    </xf>
    <xf numFmtId="0" fontId="37" fillId="10" borderId="0" applyNumberFormat="0" applyBorder="0" applyAlignment="0" applyProtection="0">
      <alignment vertical="center"/>
    </xf>
    <xf numFmtId="0" fontId="37" fillId="11" borderId="0" applyNumberFormat="0" applyBorder="0" applyAlignment="0" applyProtection="0">
      <alignment vertical="center"/>
    </xf>
    <xf numFmtId="0" fontId="36" fillId="12" borderId="0" applyNumberFormat="0" applyBorder="0" applyAlignment="0" applyProtection="0">
      <alignment vertical="center"/>
    </xf>
    <xf numFmtId="0" fontId="36" fillId="13" borderId="0" applyNumberFormat="0" applyBorder="0" applyAlignment="0" applyProtection="0">
      <alignment vertical="center"/>
    </xf>
    <xf numFmtId="0" fontId="37" fillId="14" borderId="0" applyNumberFormat="0" applyBorder="0" applyAlignment="0" applyProtection="0">
      <alignment vertical="center"/>
    </xf>
    <xf numFmtId="0" fontId="37" fillId="15" borderId="0" applyNumberFormat="0" applyBorder="0" applyAlignment="0" applyProtection="0">
      <alignment vertical="center"/>
    </xf>
    <xf numFmtId="0" fontId="36" fillId="16" borderId="0" applyNumberFormat="0" applyBorder="0" applyAlignment="0" applyProtection="0">
      <alignment vertical="center"/>
    </xf>
    <xf numFmtId="0" fontId="36" fillId="17" borderId="0" applyNumberFormat="0" applyBorder="0" applyAlignment="0" applyProtection="0">
      <alignment vertical="center"/>
    </xf>
    <xf numFmtId="0" fontId="37" fillId="18" borderId="0" applyNumberFormat="0" applyBorder="0" applyAlignment="0" applyProtection="0">
      <alignment vertical="center"/>
    </xf>
    <xf numFmtId="0" fontId="37" fillId="19" borderId="0" applyNumberFormat="0" applyBorder="0" applyAlignment="0" applyProtection="0">
      <alignment vertical="center"/>
    </xf>
    <xf numFmtId="0" fontId="36" fillId="20" borderId="0" applyNumberFormat="0" applyBorder="0" applyAlignment="0" applyProtection="0">
      <alignment vertical="center"/>
    </xf>
    <xf numFmtId="0" fontId="36" fillId="21" borderId="0" applyNumberFormat="0" applyBorder="0" applyAlignment="0" applyProtection="0">
      <alignment vertical="center"/>
    </xf>
    <xf numFmtId="0" fontId="37" fillId="22" borderId="0" applyNumberFormat="0" applyBorder="0" applyAlignment="0" applyProtection="0">
      <alignment vertical="center"/>
    </xf>
    <xf numFmtId="0" fontId="37" fillId="23" borderId="0" applyNumberFormat="0" applyBorder="0" applyAlignment="0" applyProtection="0">
      <alignment vertical="center"/>
    </xf>
    <xf numFmtId="0" fontId="36" fillId="24" borderId="0" applyNumberFormat="0" applyBorder="0" applyAlignment="0" applyProtection="0">
      <alignment vertical="center"/>
    </xf>
    <xf numFmtId="0" fontId="36" fillId="25" borderId="0" applyNumberFormat="0" applyBorder="0" applyAlignment="0" applyProtection="0">
      <alignment vertical="center"/>
    </xf>
    <xf numFmtId="0" fontId="37" fillId="26" borderId="0" applyNumberFormat="0" applyBorder="0" applyAlignment="0" applyProtection="0">
      <alignment vertical="center"/>
    </xf>
    <xf numFmtId="0" fontId="37" fillId="27" borderId="0" applyNumberFormat="0" applyBorder="0" applyAlignment="0" applyProtection="0">
      <alignment vertical="center"/>
    </xf>
    <xf numFmtId="0" fontId="36" fillId="28" borderId="0" applyNumberFormat="0" applyBorder="0" applyAlignment="0" applyProtection="0">
      <alignment vertical="center"/>
    </xf>
    <xf numFmtId="0" fontId="36" fillId="29" borderId="0" applyNumberFormat="0" applyBorder="0" applyAlignment="0" applyProtection="0">
      <alignment vertical="center"/>
    </xf>
    <xf numFmtId="0" fontId="37" fillId="30" borderId="0" applyNumberFormat="0" applyBorder="0" applyAlignment="0" applyProtection="0">
      <alignment vertical="center"/>
    </xf>
    <xf numFmtId="0" fontId="37" fillId="31" borderId="0" applyNumberFormat="0" applyBorder="0" applyAlignment="0" applyProtection="0">
      <alignment vertical="center"/>
    </xf>
    <xf numFmtId="0" fontId="36" fillId="32" borderId="0" applyNumberFormat="0" applyBorder="0" applyAlignment="0" applyProtection="0">
      <alignment vertical="center"/>
    </xf>
  </cellStyleXfs>
  <cellXfs count="111">
    <xf numFmtId="0" fontId="0" fillId="0" borderId="0" xfId="0">
      <alignment vertical="center"/>
    </xf>
    <xf numFmtId="0" fontId="0" fillId="0" borderId="0" xfId="0" applyFont="1" applyFill="1">
      <alignment vertical="center"/>
    </xf>
    <xf numFmtId="0" fontId="0" fillId="0" borderId="0" xfId="0" applyFill="1" applyAlignment="1">
      <alignment horizontal="center" vertical="center"/>
    </xf>
    <xf numFmtId="0" fontId="0" fillId="0" borderId="0" xfId="0" applyFill="1">
      <alignment vertical="center"/>
    </xf>
    <xf numFmtId="0" fontId="1" fillId="0" borderId="0" xfId="0" applyFont="1" applyFill="1" applyAlignment="1">
      <alignment horizontal="center" vertical="center"/>
    </xf>
    <xf numFmtId="0" fontId="2" fillId="0" borderId="1" xfId="0" applyFont="1" applyFill="1" applyBorder="1" applyAlignment="1">
      <alignment horizontal="center" vertical="center"/>
    </xf>
    <xf numFmtId="0" fontId="2" fillId="0" borderId="0" xfId="0" applyFont="1" applyFill="1" applyAlignment="1">
      <alignment horizontal="center" vertical="center"/>
    </xf>
    <xf numFmtId="0" fontId="3" fillId="0" borderId="2" xfId="0" applyFont="1" applyFill="1" applyBorder="1" applyAlignment="1">
      <alignment horizontal="center" vertical="center"/>
    </xf>
    <xf numFmtId="0" fontId="3" fillId="0" borderId="2" xfId="0" applyFont="1" applyFill="1" applyBorder="1" applyAlignment="1">
      <alignment horizontal="center" vertical="center" wrapText="1"/>
    </xf>
    <xf numFmtId="0" fontId="2" fillId="0" borderId="2" xfId="0" applyFont="1" applyFill="1" applyBorder="1" applyAlignment="1">
      <alignment horizontal="center" vertical="center"/>
    </xf>
    <xf numFmtId="0" fontId="4" fillId="0" borderId="2" xfId="0" applyFont="1" applyFill="1" applyBorder="1" applyAlignment="1">
      <alignment horizontal="center" vertical="center"/>
    </xf>
    <xf numFmtId="0" fontId="5" fillId="0" borderId="2" xfId="0" applyFont="1" applyFill="1" applyBorder="1" applyAlignment="1">
      <alignment horizontal="center" vertical="center"/>
    </xf>
    <xf numFmtId="0" fontId="6" fillId="0" borderId="2" xfId="0" applyFont="1" applyFill="1" applyBorder="1" applyAlignment="1">
      <alignment horizontal="center" vertical="center"/>
    </xf>
    <xf numFmtId="0" fontId="2" fillId="0" borderId="0" xfId="0" applyFont="1" applyFill="1">
      <alignment vertical="center"/>
    </xf>
    <xf numFmtId="0" fontId="3" fillId="0" borderId="2" xfId="0" applyFont="1" applyFill="1" applyBorder="1" applyAlignment="1">
      <alignment horizontal="left" vertical="center"/>
    </xf>
    <xf numFmtId="0" fontId="7" fillId="0" borderId="3" xfId="0" applyFont="1" applyFill="1" applyBorder="1" applyAlignment="1">
      <alignment horizontal="center" vertical="center"/>
    </xf>
    <xf numFmtId="0" fontId="2" fillId="0" borderId="2" xfId="0" applyFont="1" applyFill="1" applyBorder="1" applyAlignment="1">
      <alignment horizontal="left" vertical="center"/>
    </xf>
    <xf numFmtId="0" fontId="0" fillId="0" borderId="2" xfId="0" applyFill="1" applyBorder="1">
      <alignment vertical="center"/>
    </xf>
    <xf numFmtId="0" fontId="2" fillId="0" borderId="2" xfId="0" applyFont="1" applyFill="1" applyBorder="1" applyAlignment="1">
      <alignment horizontal="left" vertical="center" wrapText="1"/>
    </xf>
    <xf numFmtId="0" fontId="4" fillId="0" borderId="2" xfId="0" applyFont="1" applyFill="1" applyBorder="1" applyAlignment="1">
      <alignment horizontal="left" vertical="center"/>
    </xf>
    <xf numFmtId="0" fontId="5" fillId="0" borderId="2" xfId="0" applyFont="1" applyFill="1" applyBorder="1" applyAlignment="1">
      <alignment horizontal="left" vertical="center"/>
    </xf>
    <xf numFmtId="0" fontId="8" fillId="0" borderId="2" xfId="0" applyFont="1" applyFill="1" applyBorder="1" applyAlignment="1">
      <alignment horizontal="center" vertical="center"/>
    </xf>
    <xf numFmtId="0" fontId="0" fillId="0" borderId="2" xfId="0" applyFill="1" applyBorder="1" applyAlignment="1">
      <alignment horizontal="left" vertical="center"/>
    </xf>
    <xf numFmtId="0" fontId="9" fillId="0" borderId="2" xfId="0" applyFont="1" applyFill="1" applyBorder="1" applyAlignment="1">
      <alignment horizontal="center" vertical="center"/>
    </xf>
    <xf numFmtId="0" fontId="6" fillId="0" borderId="2" xfId="0" applyFont="1" applyFill="1" applyBorder="1" applyAlignment="1">
      <alignment horizontal="left" vertical="center"/>
    </xf>
    <xf numFmtId="0" fontId="6" fillId="0" borderId="2" xfId="0" applyFont="1" applyFill="1" applyBorder="1" applyAlignment="1">
      <alignment horizontal="left" vertical="center" wrapText="1"/>
    </xf>
    <xf numFmtId="0" fontId="10" fillId="0" borderId="2" xfId="0" applyFont="1" applyFill="1" applyBorder="1" applyAlignment="1">
      <alignment horizontal="center" vertical="center"/>
    </xf>
    <xf numFmtId="0" fontId="11" fillId="0" borderId="2" xfId="0" applyFont="1" applyFill="1" applyBorder="1" applyAlignment="1">
      <alignment horizontal="left" vertical="center" wrapText="1"/>
    </xf>
    <xf numFmtId="0" fontId="11" fillId="0" borderId="2" xfId="0" applyFont="1" applyFill="1" applyBorder="1" applyAlignment="1">
      <alignment horizontal="left" vertical="center"/>
    </xf>
    <xf numFmtId="0" fontId="9" fillId="0" borderId="4" xfId="0" applyFont="1" applyFill="1" applyBorder="1" applyAlignment="1">
      <alignment horizontal="center" vertical="center"/>
    </xf>
    <xf numFmtId="0" fontId="2" fillId="0" borderId="4" xfId="0" applyFont="1" applyFill="1" applyBorder="1" applyAlignment="1">
      <alignment horizontal="center" vertical="center"/>
    </xf>
    <xf numFmtId="0" fontId="2" fillId="0" borderId="4" xfId="0" applyFont="1" applyFill="1" applyBorder="1" applyAlignment="1">
      <alignment horizontal="left" vertical="center"/>
    </xf>
    <xf numFmtId="0" fontId="0" fillId="0" borderId="4" xfId="0" applyFill="1" applyBorder="1" applyAlignment="1">
      <alignment horizontal="left" vertical="center"/>
    </xf>
    <xf numFmtId="0" fontId="12" fillId="0" borderId="0" xfId="0" applyFont="1" applyFill="1">
      <alignment vertical="center"/>
    </xf>
    <xf numFmtId="0" fontId="2" fillId="0" borderId="1" xfId="0" applyFont="1" applyFill="1" applyBorder="1" applyAlignment="1">
      <alignment vertical="center"/>
    </xf>
    <xf numFmtId="0" fontId="9" fillId="0" borderId="2" xfId="0" applyFont="1" applyFill="1" applyBorder="1" applyAlignment="1">
      <alignment horizontal="left" vertical="center"/>
    </xf>
    <xf numFmtId="0" fontId="9" fillId="0" borderId="2" xfId="0" applyFont="1" applyFill="1" applyBorder="1" applyAlignment="1">
      <alignment horizontal="center" vertical="center" wrapText="1"/>
    </xf>
    <xf numFmtId="0" fontId="12" fillId="0" borderId="2" xfId="0" applyFont="1" applyFill="1" applyBorder="1" applyAlignment="1">
      <alignment horizontal="center" vertical="center"/>
    </xf>
    <xf numFmtId="0" fontId="13" fillId="0" borderId="2" xfId="0" applyFont="1" applyFill="1" applyBorder="1" applyAlignment="1">
      <alignment vertical="center"/>
    </xf>
    <xf numFmtId="0" fontId="13" fillId="0" borderId="2" xfId="0" applyFont="1" applyFill="1" applyBorder="1" applyAlignment="1">
      <alignment horizontal="left" vertical="center"/>
    </xf>
    <xf numFmtId="0" fontId="14" fillId="0" borderId="2" xfId="0" applyFont="1" applyFill="1" applyBorder="1" applyAlignment="1">
      <alignment vertical="center"/>
    </xf>
    <xf numFmtId="0" fontId="3" fillId="0" borderId="5" xfId="0" applyFont="1" applyFill="1" applyBorder="1" applyAlignment="1">
      <alignment horizontal="center" vertical="center"/>
    </xf>
    <xf numFmtId="0" fontId="3" fillId="0" borderId="6" xfId="0" applyFont="1" applyFill="1" applyBorder="1" applyAlignment="1">
      <alignment horizontal="center" vertical="center"/>
    </xf>
    <xf numFmtId="0" fontId="3" fillId="0" borderId="7" xfId="0" applyFont="1" applyFill="1" applyBorder="1" applyAlignment="1">
      <alignment horizontal="center" vertical="center"/>
    </xf>
    <xf numFmtId="0" fontId="9" fillId="0" borderId="2" xfId="0" applyFont="1" applyFill="1" applyBorder="1" applyAlignment="1">
      <alignment horizontal="left" vertical="center" wrapText="1"/>
    </xf>
    <xf numFmtId="0" fontId="12" fillId="0" borderId="2" xfId="0" applyFont="1" applyFill="1" applyBorder="1" applyAlignment="1">
      <alignment horizontal="left" vertical="center" wrapText="1"/>
    </xf>
    <xf numFmtId="0" fontId="12" fillId="0" borderId="2" xfId="0" applyFont="1" applyFill="1" applyBorder="1" applyAlignment="1">
      <alignment horizontal="left" vertical="center"/>
    </xf>
    <xf numFmtId="0" fontId="13" fillId="0" borderId="2" xfId="0" applyFont="1" applyFill="1" applyBorder="1" applyAlignment="1">
      <alignment horizontal="center" vertical="center"/>
    </xf>
    <xf numFmtId="0" fontId="13" fillId="0" borderId="2" xfId="0" applyFont="1" applyFill="1" applyBorder="1" applyAlignment="1">
      <alignment horizontal="left" vertical="center" wrapText="1"/>
    </xf>
    <xf numFmtId="0" fontId="9" fillId="0" borderId="2" xfId="0" applyFont="1" applyFill="1" applyBorder="1" applyAlignment="1" applyProtection="1">
      <alignment horizontal="left" vertical="center" wrapText="1"/>
      <protection locked="0"/>
    </xf>
    <xf numFmtId="0" fontId="13" fillId="0" borderId="2" xfId="0" applyFont="1" applyFill="1" applyBorder="1" applyAlignment="1" applyProtection="1">
      <alignment horizontal="left" vertical="center" wrapText="1"/>
      <protection locked="0"/>
    </xf>
    <xf numFmtId="0" fontId="15" fillId="0" borderId="2" xfId="0" applyFont="1" applyFill="1" applyBorder="1" applyAlignment="1">
      <alignment horizontal="left" vertical="center" wrapText="1"/>
    </xf>
    <xf numFmtId="0" fontId="15" fillId="0" borderId="2" xfId="0" applyFont="1" applyFill="1" applyBorder="1" applyAlignment="1">
      <alignment horizontal="left" vertical="center"/>
    </xf>
    <xf numFmtId="176" fontId="9" fillId="0" borderId="2" xfId="0" applyNumberFormat="1" applyFont="1" applyFill="1" applyBorder="1" applyAlignment="1">
      <alignment horizontal="left" vertical="center" wrapText="1"/>
    </xf>
    <xf numFmtId="0" fontId="5" fillId="0" borderId="0" xfId="0" applyFont="1" applyFill="1" applyAlignment="1">
      <alignment horizontal="center" vertical="center"/>
    </xf>
    <xf numFmtId="0" fontId="12" fillId="0" borderId="0" xfId="0" applyFont="1" applyFill="1" applyAlignment="1">
      <alignment horizontal="center" vertical="center"/>
    </xf>
    <xf numFmtId="0" fontId="3" fillId="0" borderId="0" xfId="0" applyFont="1" applyFill="1" applyAlignment="1">
      <alignment horizontal="center" vertical="center"/>
    </xf>
    <xf numFmtId="0" fontId="16" fillId="0" borderId="0" xfId="0" applyFont="1" applyFill="1" applyAlignment="1">
      <alignment horizontal="center" vertical="center"/>
    </xf>
    <xf numFmtId="0" fontId="9" fillId="0" borderId="1" xfId="0" applyFont="1" applyFill="1" applyBorder="1" applyAlignment="1">
      <alignment horizontal="center" vertical="center"/>
    </xf>
    <xf numFmtId="0" fontId="2" fillId="0" borderId="0" xfId="0" applyFont="1" applyFill="1" applyAlignment="1">
      <alignment horizontal="left" vertical="center"/>
    </xf>
    <xf numFmtId="0" fontId="16" fillId="0" borderId="2" xfId="0" applyFont="1" applyFill="1" applyBorder="1" applyAlignment="1">
      <alignment horizontal="center" vertical="center"/>
    </xf>
    <xf numFmtId="0" fontId="13" fillId="0" borderId="3" xfId="0" applyFont="1" applyFill="1" applyBorder="1" applyAlignment="1">
      <alignment horizontal="center" vertical="center"/>
    </xf>
    <xf numFmtId="177" fontId="2" fillId="0" borderId="2" xfId="0" applyNumberFormat="1" applyFont="1" applyFill="1" applyBorder="1" applyAlignment="1">
      <alignment horizontal="left" vertical="center"/>
    </xf>
    <xf numFmtId="177" fontId="2" fillId="0" borderId="2" xfId="0" applyNumberFormat="1" applyFont="1" applyFill="1" applyBorder="1" applyAlignment="1">
      <alignment horizontal="center" vertical="center"/>
    </xf>
    <xf numFmtId="49" fontId="2" fillId="0" borderId="3" xfId="0" applyNumberFormat="1" applyFont="1" applyFill="1" applyBorder="1" applyAlignment="1">
      <alignment horizontal="center" vertical="center"/>
    </xf>
    <xf numFmtId="0" fontId="0" fillId="0" borderId="2" xfId="0" applyFont="1" applyFill="1" applyBorder="1" applyAlignment="1">
      <alignment horizontal="center" vertical="center"/>
    </xf>
    <xf numFmtId="177" fontId="4" fillId="0" borderId="2" xfId="0" applyNumberFormat="1" applyFont="1" applyFill="1" applyBorder="1" applyAlignment="1">
      <alignment horizontal="left" vertical="center"/>
    </xf>
    <xf numFmtId="177" fontId="4" fillId="0" borderId="2" xfId="0" applyNumberFormat="1" applyFont="1" applyFill="1" applyBorder="1" applyAlignment="1">
      <alignment horizontal="center" vertical="center"/>
    </xf>
    <xf numFmtId="0" fontId="6" fillId="0" borderId="3" xfId="0" applyFont="1" applyFill="1" applyBorder="1" applyAlignment="1">
      <alignment horizontal="center" vertical="center"/>
    </xf>
    <xf numFmtId="0" fontId="6" fillId="0" borderId="7" xfId="0" applyFont="1" applyFill="1" applyBorder="1" applyAlignment="1">
      <alignment horizontal="center" vertical="center"/>
    </xf>
    <xf numFmtId="0" fontId="4" fillId="0" borderId="3" xfId="0" applyFont="1" applyFill="1" applyBorder="1" applyAlignment="1">
      <alignment horizontal="center" vertical="center"/>
    </xf>
    <xf numFmtId="0" fontId="2" fillId="0" borderId="7" xfId="0" applyFont="1" applyFill="1" applyBorder="1" applyAlignment="1">
      <alignment horizontal="center" vertical="center"/>
    </xf>
    <xf numFmtId="0" fontId="3" fillId="0" borderId="5" xfId="0" applyFont="1" applyFill="1" applyBorder="1" applyAlignment="1">
      <alignment horizontal="left" vertical="center"/>
    </xf>
    <xf numFmtId="0" fontId="3" fillId="0" borderId="6" xfId="0" applyFont="1" applyFill="1" applyBorder="1" applyAlignment="1">
      <alignment horizontal="left" vertical="center"/>
    </xf>
    <xf numFmtId="0" fontId="3" fillId="0" borderId="7" xfId="0" applyFont="1" applyFill="1" applyBorder="1" applyAlignment="1">
      <alignment horizontal="left" vertical="center"/>
    </xf>
    <xf numFmtId="0" fontId="2" fillId="0" borderId="5" xfId="0" applyFont="1" applyFill="1" applyBorder="1" applyAlignment="1">
      <alignment vertical="center"/>
    </xf>
    <xf numFmtId="0" fontId="2" fillId="0" borderId="6" xfId="0" applyFont="1" applyFill="1" applyBorder="1" applyAlignment="1">
      <alignment vertical="center"/>
    </xf>
    <xf numFmtId="0" fontId="2" fillId="0" borderId="7" xfId="0" applyFont="1" applyFill="1" applyBorder="1" applyAlignment="1">
      <alignment vertical="center"/>
    </xf>
    <xf numFmtId="0" fontId="2" fillId="0" borderId="5" xfId="0" applyFont="1" applyFill="1" applyBorder="1" applyAlignment="1">
      <alignment vertical="center" wrapText="1"/>
    </xf>
    <xf numFmtId="0" fontId="2" fillId="0" borderId="6" xfId="0" applyFont="1" applyFill="1" applyBorder="1" applyAlignment="1">
      <alignment vertical="center" wrapText="1"/>
    </xf>
    <xf numFmtId="0" fontId="2" fillId="0" borderId="7" xfId="0" applyFont="1" applyFill="1" applyBorder="1" applyAlignment="1">
      <alignment vertical="center" wrapText="1"/>
    </xf>
    <xf numFmtId="0" fontId="4" fillId="0" borderId="5" xfId="0" applyFont="1" applyFill="1" applyBorder="1" applyAlignment="1">
      <alignment vertical="center"/>
    </xf>
    <xf numFmtId="0" fontId="4" fillId="0" borderId="6" xfId="0" applyFont="1" applyFill="1" applyBorder="1" applyAlignment="1">
      <alignment vertical="center"/>
    </xf>
    <xf numFmtId="0" fontId="4" fillId="0" borderId="7" xfId="0" applyFont="1" applyFill="1" applyBorder="1" applyAlignment="1">
      <alignment vertical="center"/>
    </xf>
    <xf numFmtId="0" fontId="4" fillId="0" borderId="5" xfId="0" applyFont="1" applyFill="1" applyBorder="1" applyAlignment="1">
      <alignment vertical="center" wrapText="1"/>
    </xf>
    <xf numFmtId="0" fontId="4" fillId="0" borderId="6" xfId="0" applyFont="1" applyFill="1" applyBorder="1" applyAlignment="1">
      <alignment vertical="center" wrapText="1"/>
    </xf>
    <xf numFmtId="0" fontId="4" fillId="0" borderId="7" xfId="0" applyFont="1" applyFill="1" applyBorder="1" applyAlignment="1">
      <alignment vertical="center" wrapText="1"/>
    </xf>
    <xf numFmtId="0" fontId="2" fillId="0" borderId="2" xfId="0" applyFont="1" applyFill="1" applyBorder="1" applyAlignment="1">
      <alignment vertical="center"/>
    </xf>
    <xf numFmtId="0" fontId="0" fillId="0" borderId="2" xfId="0" applyFont="1" applyFill="1" applyBorder="1" applyAlignment="1">
      <alignment horizontal="left" vertical="center"/>
    </xf>
    <xf numFmtId="0" fontId="6" fillId="0" borderId="4" xfId="0" applyFont="1" applyFill="1" applyBorder="1" applyAlignment="1">
      <alignment horizontal="center" vertical="center"/>
    </xf>
    <xf numFmtId="0" fontId="17" fillId="0" borderId="0" xfId="0" applyFont="1" applyFill="1">
      <alignment vertical="center"/>
    </xf>
    <xf numFmtId="0" fontId="2" fillId="0" borderId="5" xfId="0" applyFont="1" applyFill="1" applyBorder="1" applyAlignment="1">
      <alignment horizontal="left" vertical="center" wrapText="1"/>
    </xf>
    <xf numFmtId="0" fontId="2" fillId="0" borderId="6" xfId="0" applyFont="1" applyFill="1" applyBorder="1" applyAlignment="1">
      <alignment horizontal="left" vertical="center" wrapText="1"/>
    </xf>
    <xf numFmtId="0" fontId="2" fillId="0" borderId="7" xfId="0" applyFont="1" applyFill="1" applyBorder="1" applyAlignment="1">
      <alignment horizontal="left" vertical="center" wrapText="1"/>
    </xf>
    <xf numFmtId="0" fontId="11" fillId="0" borderId="5" xfId="0" applyFont="1" applyFill="1" applyBorder="1" applyAlignment="1">
      <alignment horizontal="left" vertical="center" wrapText="1"/>
    </xf>
    <xf numFmtId="0" fontId="11" fillId="0" borderId="6" xfId="0" applyFont="1" applyFill="1" applyBorder="1" applyAlignment="1">
      <alignment horizontal="left" vertical="center" wrapText="1"/>
    </xf>
    <xf numFmtId="0" fontId="11" fillId="0" borderId="7" xfId="0" applyFont="1" applyFill="1" applyBorder="1" applyAlignment="1">
      <alignment horizontal="left" vertical="center" wrapText="1"/>
    </xf>
    <xf numFmtId="0" fontId="11" fillId="0" borderId="5" xfId="0" applyFont="1" applyFill="1" applyBorder="1" applyAlignment="1">
      <alignment horizontal="left" vertical="center"/>
    </xf>
    <xf numFmtId="0" fontId="11" fillId="0" borderId="6" xfId="0" applyFont="1" applyFill="1" applyBorder="1" applyAlignment="1">
      <alignment horizontal="left" vertical="center"/>
    </xf>
    <xf numFmtId="0" fontId="11" fillId="0" borderId="7" xfId="0" applyFont="1" applyFill="1" applyBorder="1" applyAlignment="1">
      <alignment horizontal="left" vertical="center"/>
    </xf>
    <xf numFmtId="0" fontId="2" fillId="0" borderId="5" xfId="0" applyFont="1" applyFill="1" applyBorder="1" applyAlignment="1">
      <alignment horizontal="left" vertical="center"/>
    </xf>
    <xf numFmtId="0" fontId="2" fillId="0" borderId="6" xfId="0" applyFont="1" applyFill="1" applyBorder="1" applyAlignment="1">
      <alignment horizontal="left" vertical="center"/>
    </xf>
    <xf numFmtId="0" fontId="2" fillId="0" borderId="7" xfId="0" applyFont="1" applyFill="1" applyBorder="1" applyAlignment="1">
      <alignment horizontal="left" vertical="center"/>
    </xf>
    <xf numFmtId="0" fontId="8" fillId="0" borderId="0" xfId="0" applyFont="1" applyFill="1" applyAlignment="1">
      <alignment horizontal="center" vertical="center"/>
    </xf>
    <xf numFmtId="177" fontId="10" fillId="0" borderId="2" xfId="0" applyNumberFormat="1" applyFont="1" applyFill="1" applyBorder="1" applyAlignment="1">
      <alignment horizontal="center" vertical="center"/>
    </xf>
    <xf numFmtId="0" fontId="18" fillId="0" borderId="2" xfId="0" applyFont="1" applyFill="1" applyBorder="1" applyAlignment="1">
      <alignment horizontal="center" vertical="center"/>
    </xf>
    <xf numFmtId="0" fontId="0" fillId="0" borderId="0" xfId="0" applyFill="1" applyBorder="1">
      <alignment vertical="center"/>
    </xf>
    <xf numFmtId="0" fontId="8" fillId="0" borderId="0" xfId="0" applyFont="1" applyFill="1" applyBorder="1" applyAlignment="1">
      <alignment horizontal="center" vertical="center"/>
    </xf>
    <xf numFmtId="0" fontId="10" fillId="0" borderId="0" xfId="0" applyFont="1" applyFill="1" applyBorder="1" applyAlignment="1">
      <alignment horizontal="center" vertical="center"/>
    </xf>
    <xf numFmtId="0" fontId="2" fillId="0" borderId="0" xfId="0" applyFont="1" applyFill="1" applyBorder="1" applyAlignment="1">
      <alignment horizontal="left" vertical="center"/>
    </xf>
    <xf numFmtId="178" fontId="6" fillId="0" borderId="2" xfId="0" applyNumberFormat="1" applyFont="1" applyFill="1" applyBorder="1" applyAlignment="1">
      <alignment horizontal="left" vertical="center"/>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FF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98.png"/><Relationship Id="rId98" Type="http://schemas.openxmlformats.org/officeDocument/2006/relationships/image" Target="media/image97.png"/><Relationship Id="rId97" Type="http://schemas.openxmlformats.org/officeDocument/2006/relationships/image" Target="media/image96.jpeg"/><Relationship Id="rId96" Type="http://schemas.openxmlformats.org/officeDocument/2006/relationships/image" Target="media/image95.png"/><Relationship Id="rId95" Type="http://schemas.openxmlformats.org/officeDocument/2006/relationships/image" Target="media/image94.jpeg"/><Relationship Id="rId94" Type="http://schemas.openxmlformats.org/officeDocument/2006/relationships/image" Target="media/image93.jpeg"/><Relationship Id="rId93" Type="http://schemas.openxmlformats.org/officeDocument/2006/relationships/image" Target="media/image92.png"/><Relationship Id="rId92" Type="http://schemas.openxmlformats.org/officeDocument/2006/relationships/image" Target="media/image91.png"/><Relationship Id="rId91" Type="http://schemas.openxmlformats.org/officeDocument/2006/relationships/image" Target="media/image90.jpeg"/><Relationship Id="rId90" Type="http://schemas.openxmlformats.org/officeDocument/2006/relationships/image" Target="media/image89.jpeg"/><Relationship Id="rId9" Type="http://schemas.openxmlformats.org/officeDocument/2006/relationships/image" Target="media/image8.jpeg"/><Relationship Id="rId89" Type="http://schemas.openxmlformats.org/officeDocument/2006/relationships/image" Target="media/image88.jpeg"/><Relationship Id="rId88" Type="http://schemas.openxmlformats.org/officeDocument/2006/relationships/image" Target="media/image87.png"/><Relationship Id="rId87" Type="http://schemas.openxmlformats.org/officeDocument/2006/relationships/image" Target="media/image86.png"/><Relationship Id="rId86" Type="http://schemas.openxmlformats.org/officeDocument/2006/relationships/image" Target="media/image85.png"/><Relationship Id="rId85" Type="http://schemas.openxmlformats.org/officeDocument/2006/relationships/image" Target="media/image84.png"/><Relationship Id="rId84" Type="http://schemas.openxmlformats.org/officeDocument/2006/relationships/image" Target="media/image83.png"/><Relationship Id="rId83" Type="http://schemas.openxmlformats.org/officeDocument/2006/relationships/image" Target="media/image82.png"/><Relationship Id="rId82" Type="http://schemas.openxmlformats.org/officeDocument/2006/relationships/image" Target="media/image81.jpeg"/><Relationship Id="rId81" Type="http://schemas.openxmlformats.org/officeDocument/2006/relationships/image" Target="media/image80.jpeg"/><Relationship Id="rId80" Type="http://schemas.openxmlformats.org/officeDocument/2006/relationships/image" Target="media/image79.jpeg"/><Relationship Id="rId8" Type="http://schemas.openxmlformats.org/officeDocument/2006/relationships/image" Target="media/image7.png"/><Relationship Id="rId79" Type="http://schemas.openxmlformats.org/officeDocument/2006/relationships/image" Target="media/image78.jpeg"/><Relationship Id="rId78" Type="http://schemas.openxmlformats.org/officeDocument/2006/relationships/image" Target="media/image77.jpeg"/><Relationship Id="rId77" Type="http://schemas.openxmlformats.org/officeDocument/2006/relationships/image" Target="media/image76.jpeg"/><Relationship Id="rId76" Type="http://schemas.openxmlformats.org/officeDocument/2006/relationships/image" Target="media/image75.jpeg"/><Relationship Id="rId75" Type="http://schemas.openxmlformats.org/officeDocument/2006/relationships/image" Target="media/image74.png"/><Relationship Id="rId74" Type="http://schemas.openxmlformats.org/officeDocument/2006/relationships/image" Target="media/image73.jpeg"/><Relationship Id="rId73" Type="http://schemas.openxmlformats.org/officeDocument/2006/relationships/image" Target="media/image72.png"/><Relationship Id="rId72" Type="http://schemas.openxmlformats.org/officeDocument/2006/relationships/image" Target="media/image71.png"/><Relationship Id="rId71" Type="http://schemas.openxmlformats.org/officeDocument/2006/relationships/image" Target="media/image70.jpeg"/><Relationship Id="rId70" Type="http://schemas.openxmlformats.org/officeDocument/2006/relationships/image" Target="media/image69.jpeg"/><Relationship Id="rId7" Type="http://schemas.openxmlformats.org/officeDocument/2006/relationships/image" Target="media/image6.jpeg"/><Relationship Id="rId69" Type="http://schemas.openxmlformats.org/officeDocument/2006/relationships/image" Target="media/image68.jpeg"/><Relationship Id="rId68" Type="http://schemas.openxmlformats.org/officeDocument/2006/relationships/image" Target="media/image67.jpeg"/><Relationship Id="rId67" Type="http://schemas.openxmlformats.org/officeDocument/2006/relationships/image" Target="media/image66.jpeg"/><Relationship Id="rId66" Type="http://schemas.openxmlformats.org/officeDocument/2006/relationships/image" Target="media/image65.png"/><Relationship Id="rId65" Type="http://schemas.openxmlformats.org/officeDocument/2006/relationships/image" Target="media/image64.png"/><Relationship Id="rId64" Type="http://schemas.openxmlformats.org/officeDocument/2006/relationships/image" Target="media/image63.png"/><Relationship Id="rId63" Type="http://schemas.openxmlformats.org/officeDocument/2006/relationships/image" Target="media/image62.pn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5.png"/><Relationship Id="rId59" Type="http://schemas.openxmlformats.org/officeDocument/2006/relationships/image" Target="media/image58.pn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pn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png"/><Relationship Id="rId51" Type="http://schemas.openxmlformats.org/officeDocument/2006/relationships/image" Target="media/image50.png"/><Relationship Id="rId50" Type="http://schemas.openxmlformats.org/officeDocument/2006/relationships/image" Target="media/image49.jpeg"/><Relationship Id="rId5" Type="http://schemas.openxmlformats.org/officeDocument/2006/relationships/image" Target="media/image4.jpeg"/><Relationship Id="rId49" Type="http://schemas.openxmlformats.org/officeDocument/2006/relationships/image" Target="media/image48.jpeg"/><Relationship Id="rId48" Type="http://schemas.openxmlformats.org/officeDocument/2006/relationships/image" Target="media/image47.png"/><Relationship Id="rId47" Type="http://schemas.openxmlformats.org/officeDocument/2006/relationships/image" Target="media/image46.jpeg"/><Relationship Id="rId46" Type="http://schemas.openxmlformats.org/officeDocument/2006/relationships/image" Target="media/image45.jpe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jpeg"/><Relationship Id="rId42" Type="http://schemas.openxmlformats.org/officeDocument/2006/relationships/image" Target="media/image41.png"/><Relationship Id="rId41" Type="http://schemas.openxmlformats.org/officeDocument/2006/relationships/image" Target="media/image40.jpeg"/><Relationship Id="rId40" Type="http://schemas.openxmlformats.org/officeDocument/2006/relationships/image" Target="media/image39.png"/><Relationship Id="rId4" Type="http://schemas.openxmlformats.org/officeDocument/2006/relationships/image" Target="media/image3.jpeg"/><Relationship Id="rId39" Type="http://schemas.openxmlformats.org/officeDocument/2006/relationships/image" Target="media/image38.jpeg"/><Relationship Id="rId38" Type="http://schemas.openxmlformats.org/officeDocument/2006/relationships/image" Target="media/image37.jpe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jpeg"/><Relationship Id="rId34" Type="http://schemas.openxmlformats.org/officeDocument/2006/relationships/image" Target="media/image33.png"/><Relationship Id="rId33" Type="http://schemas.openxmlformats.org/officeDocument/2006/relationships/image" Target="media/image32.jpeg"/><Relationship Id="rId32" Type="http://schemas.openxmlformats.org/officeDocument/2006/relationships/image" Target="media/image31.png"/><Relationship Id="rId31" Type="http://schemas.openxmlformats.org/officeDocument/2006/relationships/image" Target="media/image30.jpeg"/><Relationship Id="rId30" Type="http://schemas.openxmlformats.org/officeDocument/2006/relationships/image" Target="media/image29.png"/><Relationship Id="rId3" Type="http://schemas.openxmlformats.org/officeDocument/2006/relationships/image" Target="media/image2.jpe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jpeg"/><Relationship Id="rId26" Type="http://schemas.openxmlformats.org/officeDocument/2006/relationships/image" Target="media/image25.jpeg"/><Relationship Id="rId25" Type="http://schemas.openxmlformats.org/officeDocument/2006/relationships/image" Target="media/image24.jpeg"/><Relationship Id="rId24" Type="http://schemas.openxmlformats.org/officeDocument/2006/relationships/image" Target="media/image23.jpeg"/><Relationship Id="rId23" Type="http://schemas.openxmlformats.org/officeDocument/2006/relationships/image" Target="media/image22.png"/><Relationship Id="rId22" Type="http://schemas.openxmlformats.org/officeDocument/2006/relationships/image" Target="media/image21.jpeg"/><Relationship Id="rId21" Type="http://schemas.openxmlformats.org/officeDocument/2006/relationships/image" Target="media/image20.jpeg"/><Relationship Id="rId20" Type="http://schemas.openxmlformats.org/officeDocument/2006/relationships/image" Target="media/image19.jpeg"/><Relationship Id="rId2" Type="http://schemas.openxmlformats.org/officeDocument/2006/relationships/image" Target="NULL" TargetMode="External"/><Relationship Id="rId19" Type="http://schemas.openxmlformats.org/officeDocument/2006/relationships/image" Target="media/image18.jpe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jpeg"/><Relationship Id="rId158" Type="http://schemas.openxmlformats.org/officeDocument/2006/relationships/image" Target="media/image157.png"/><Relationship Id="rId157" Type="http://schemas.openxmlformats.org/officeDocument/2006/relationships/image" Target="media/image156.png"/><Relationship Id="rId156" Type="http://schemas.openxmlformats.org/officeDocument/2006/relationships/image" Target="media/image155.png"/><Relationship Id="rId155" Type="http://schemas.openxmlformats.org/officeDocument/2006/relationships/image" Target="media/image154.jpeg"/><Relationship Id="rId154" Type="http://schemas.openxmlformats.org/officeDocument/2006/relationships/image" Target="media/image153.png"/><Relationship Id="rId153" Type="http://schemas.openxmlformats.org/officeDocument/2006/relationships/image" Target="media/image152.jpeg"/><Relationship Id="rId152" Type="http://schemas.openxmlformats.org/officeDocument/2006/relationships/image" Target="media/image151.jpeg"/><Relationship Id="rId151" Type="http://schemas.openxmlformats.org/officeDocument/2006/relationships/image" Target="media/image150.jpeg"/><Relationship Id="rId150" Type="http://schemas.openxmlformats.org/officeDocument/2006/relationships/image" Target="media/image149.png"/><Relationship Id="rId15" Type="http://schemas.openxmlformats.org/officeDocument/2006/relationships/image" Target="media/image14.jpeg"/><Relationship Id="rId149" Type="http://schemas.openxmlformats.org/officeDocument/2006/relationships/image" Target="media/image148.png"/><Relationship Id="rId148" Type="http://schemas.openxmlformats.org/officeDocument/2006/relationships/image" Target="media/image147.png"/><Relationship Id="rId147" Type="http://schemas.openxmlformats.org/officeDocument/2006/relationships/image" Target="media/image146.jpeg"/><Relationship Id="rId146" Type="http://schemas.openxmlformats.org/officeDocument/2006/relationships/image" Target="media/image145.png"/><Relationship Id="rId145" Type="http://schemas.openxmlformats.org/officeDocument/2006/relationships/image" Target="media/image144.png"/><Relationship Id="rId144" Type="http://schemas.openxmlformats.org/officeDocument/2006/relationships/image" Target="media/image143.jpeg"/><Relationship Id="rId143" Type="http://schemas.openxmlformats.org/officeDocument/2006/relationships/image" Target="media/image142.jpeg"/><Relationship Id="rId142" Type="http://schemas.openxmlformats.org/officeDocument/2006/relationships/image" Target="media/image141.jpeg"/><Relationship Id="rId141" Type="http://schemas.openxmlformats.org/officeDocument/2006/relationships/image" Target="media/image140.jpeg"/><Relationship Id="rId140" Type="http://schemas.openxmlformats.org/officeDocument/2006/relationships/image" Target="media/image139.jpeg"/><Relationship Id="rId14" Type="http://schemas.openxmlformats.org/officeDocument/2006/relationships/image" Target="media/image13.png"/><Relationship Id="rId139" Type="http://schemas.openxmlformats.org/officeDocument/2006/relationships/image" Target="media/image138.png"/><Relationship Id="rId138" Type="http://schemas.openxmlformats.org/officeDocument/2006/relationships/image" Target="media/image137.png"/><Relationship Id="rId137" Type="http://schemas.openxmlformats.org/officeDocument/2006/relationships/image" Target="media/image136.png"/><Relationship Id="rId136" Type="http://schemas.openxmlformats.org/officeDocument/2006/relationships/image" Target="media/image135.jpeg"/><Relationship Id="rId135" Type="http://schemas.openxmlformats.org/officeDocument/2006/relationships/image" Target="media/image134.jpeg"/><Relationship Id="rId134" Type="http://schemas.openxmlformats.org/officeDocument/2006/relationships/image" Target="media/image133.png"/><Relationship Id="rId133" Type="http://schemas.openxmlformats.org/officeDocument/2006/relationships/image" Target="media/image132.jpeg"/><Relationship Id="rId132" Type="http://schemas.openxmlformats.org/officeDocument/2006/relationships/image" Target="media/image131.png"/><Relationship Id="rId131" Type="http://schemas.openxmlformats.org/officeDocument/2006/relationships/image" Target="media/image130.png"/><Relationship Id="rId130" Type="http://schemas.openxmlformats.org/officeDocument/2006/relationships/image" Target="media/image129.jpeg"/><Relationship Id="rId13" Type="http://schemas.openxmlformats.org/officeDocument/2006/relationships/image" Target="media/image12.jpeg"/><Relationship Id="rId129" Type="http://schemas.openxmlformats.org/officeDocument/2006/relationships/image" Target="media/image128.png"/><Relationship Id="rId128" Type="http://schemas.openxmlformats.org/officeDocument/2006/relationships/image" Target="media/image127.png"/><Relationship Id="rId127" Type="http://schemas.openxmlformats.org/officeDocument/2006/relationships/image" Target="media/image126.png"/><Relationship Id="rId126" Type="http://schemas.openxmlformats.org/officeDocument/2006/relationships/image" Target="media/image125.jpeg"/><Relationship Id="rId125" Type="http://schemas.openxmlformats.org/officeDocument/2006/relationships/image" Target="media/image124.jpeg"/><Relationship Id="rId124" Type="http://schemas.openxmlformats.org/officeDocument/2006/relationships/image" Target="media/image123.png"/><Relationship Id="rId123" Type="http://schemas.openxmlformats.org/officeDocument/2006/relationships/image" Target="media/image122.png"/><Relationship Id="rId122" Type="http://schemas.openxmlformats.org/officeDocument/2006/relationships/image" Target="media/image121.png"/><Relationship Id="rId121" Type="http://schemas.openxmlformats.org/officeDocument/2006/relationships/image" Target="media/image120.jpeg"/><Relationship Id="rId120" Type="http://schemas.openxmlformats.org/officeDocument/2006/relationships/image" Target="media/image119.png"/><Relationship Id="rId12" Type="http://schemas.openxmlformats.org/officeDocument/2006/relationships/image" Target="media/image11.png"/><Relationship Id="rId119" Type="http://schemas.openxmlformats.org/officeDocument/2006/relationships/image" Target="media/image118.png"/><Relationship Id="rId118" Type="http://schemas.openxmlformats.org/officeDocument/2006/relationships/image" Target="media/image117.jpeg"/><Relationship Id="rId117" Type="http://schemas.openxmlformats.org/officeDocument/2006/relationships/image" Target="media/image116.jpeg"/><Relationship Id="rId116" Type="http://schemas.openxmlformats.org/officeDocument/2006/relationships/image" Target="media/image115.jpeg"/><Relationship Id="rId115" Type="http://schemas.openxmlformats.org/officeDocument/2006/relationships/image" Target="media/image114.jpeg"/><Relationship Id="rId114" Type="http://schemas.openxmlformats.org/officeDocument/2006/relationships/image" Target="media/image113.jpeg"/><Relationship Id="rId113" Type="http://schemas.openxmlformats.org/officeDocument/2006/relationships/image" Target="media/image112.png"/><Relationship Id="rId112" Type="http://schemas.openxmlformats.org/officeDocument/2006/relationships/image" Target="media/image111.jpeg"/><Relationship Id="rId111" Type="http://schemas.openxmlformats.org/officeDocument/2006/relationships/image" Target="media/image110.jpeg"/><Relationship Id="rId110" Type="http://schemas.openxmlformats.org/officeDocument/2006/relationships/image" Target="media/image109.jpeg"/><Relationship Id="rId11" Type="http://schemas.openxmlformats.org/officeDocument/2006/relationships/image" Target="media/image10.png"/><Relationship Id="rId109" Type="http://schemas.openxmlformats.org/officeDocument/2006/relationships/image" Target="media/image108.jpeg"/><Relationship Id="rId108" Type="http://schemas.openxmlformats.org/officeDocument/2006/relationships/image" Target="media/image107.jpeg"/><Relationship Id="rId107" Type="http://schemas.openxmlformats.org/officeDocument/2006/relationships/image" Target="media/image106.jpeg"/><Relationship Id="rId106" Type="http://schemas.openxmlformats.org/officeDocument/2006/relationships/image" Target="media/image105.jpeg"/><Relationship Id="rId105" Type="http://schemas.openxmlformats.org/officeDocument/2006/relationships/image" Target="media/image104.jpeg"/><Relationship Id="rId104" Type="http://schemas.openxmlformats.org/officeDocument/2006/relationships/image" Target="media/image103.jpeg"/><Relationship Id="rId103" Type="http://schemas.openxmlformats.org/officeDocument/2006/relationships/image" Target="media/image102.png"/><Relationship Id="rId102" Type="http://schemas.openxmlformats.org/officeDocument/2006/relationships/image" Target="media/image101.jpeg"/><Relationship Id="rId101" Type="http://schemas.openxmlformats.org/officeDocument/2006/relationships/image" Target="media/image100.jpeg"/><Relationship Id="rId100" Type="http://schemas.openxmlformats.org/officeDocument/2006/relationships/image" Target="media/image99.jpeg"/><Relationship Id="rId10" Type="http://schemas.openxmlformats.org/officeDocument/2006/relationships/image" Target="media/image9.png"/><Relationship Id="rId1" Type="http://schemas.openxmlformats.org/officeDocument/2006/relationships/image" Target="media/image1.jpeg"/></Relationships>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www.wps.cn/officeDocument/2020/cellImage" Target="cellimages.xml"/><Relationship Id="rId6" Type="http://schemas.openxmlformats.org/officeDocument/2006/relationships/sharedStrings" Target="sharedStrings.xml"/><Relationship Id="rId5" Type="http://schemas.openxmlformats.org/officeDocument/2006/relationships/theme" Target="theme/theme1.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theme/theme1.xml><?xml version="1.0" encoding="utf-8"?>
<a:theme xmlns:a="http://schemas.openxmlformats.org/drawingml/2006/main" name="Office 主题​​">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190"/>
  <sheetViews>
    <sheetView tabSelected="1" workbookViewId="0">
      <selection activeCell="A3" sqref="$A3:$XFD3"/>
    </sheetView>
  </sheetViews>
  <sheetFormatPr defaultColWidth="9" defaultRowHeight="16.5"/>
  <cols>
    <col min="1" max="1" width="9" style="3"/>
    <col min="2" max="2" width="10.2666666666667" style="3" customWidth="1"/>
    <col min="3" max="3" width="11.4962962962963" style="3" customWidth="1"/>
    <col min="4" max="4" width="12.3333333333333" style="3" customWidth="1"/>
    <col min="5" max="6" width="10.4444444444444" style="3" customWidth="1"/>
    <col min="7" max="7" width="9" style="3"/>
    <col min="8" max="9" width="10.2666666666667" style="3" customWidth="1"/>
    <col min="10" max="11" width="19.8592592592593" style="3" customWidth="1"/>
    <col min="12" max="12" width="9" style="2"/>
    <col min="13" max="13" width="10.6222222222222" style="3" customWidth="1"/>
    <col min="14" max="14" width="12.6666666666667" style="3" customWidth="1"/>
    <col min="15" max="15" width="14.762962962963" style="3"/>
    <col min="16" max="16384" width="9" style="3"/>
  </cols>
  <sheetData>
    <row r="1" ht="22.5" spans="1:16">
      <c r="A1" s="4" t="s">
        <v>0</v>
      </c>
      <c r="B1" s="4"/>
      <c r="C1" s="4"/>
      <c r="D1" s="4"/>
      <c r="E1" s="4"/>
      <c r="F1" s="4"/>
      <c r="G1" s="4"/>
      <c r="H1" s="4"/>
      <c r="I1" s="4"/>
      <c r="J1" s="4"/>
      <c r="K1" s="4"/>
      <c r="L1" s="4"/>
      <c r="M1" s="4"/>
      <c r="N1" s="4"/>
      <c r="O1" s="4"/>
      <c r="P1" s="4"/>
    </row>
    <row r="2" ht="18.75" spans="1:16">
      <c r="A2" s="5" t="s">
        <v>1</v>
      </c>
      <c r="B2" s="5"/>
      <c r="C2" s="5"/>
      <c r="D2" s="5"/>
      <c r="E2" s="13"/>
      <c r="F2" s="13"/>
      <c r="G2" s="13"/>
      <c r="H2" s="13"/>
      <c r="I2" s="13"/>
      <c r="J2" s="13"/>
      <c r="K2" s="13"/>
      <c r="L2" s="6"/>
      <c r="M2" s="13"/>
      <c r="N2" s="13"/>
      <c r="O2" s="13"/>
      <c r="P2" s="13"/>
    </row>
    <row r="3" ht="18.75" spans="1:16">
      <c r="A3" s="14" t="s">
        <v>2</v>
      </c>
      <c r="B3" s="7" t="s">
        <v>3</v>
      </c>
      <c r="C3" s="7" t="s">
        <v>4</v>
      </c>
      <c r="D3" s="7" t="s">
        <v>5</v>
      </c>
      <c r="E3" s="7" t="s">
        <v>6</v>
      </c>
      <c r="F3" s="7" t="s">
        <v>7</v>
      </c>
      <c r="G3" s="7" t="s">
        <v>8</v>
      </c>
      <c r="H3" s="7" t="s">
        <v>9</v>
      </c>
      <c r="I3" s="7" t="s">
        <v>10</v>
      </c>
      <c r="J3" s="7" t="s">
        <v>11</v>
      </c>
      <c r="K3" s="7" t="s">
        <v>12</v>
      </c>
      <c r="L3" s="7" t="s">
        <v>13</v>
      </c>
      <c r="M3" s="7" t="s">
        <v>14</v>
      </c>
      <c r="N3" s="7" t="s">
        <v>15</v>
      </c>
      <c r="O3" s="7" t="s">
        <v>16</v>
      </c>
      <c r="P3" s="14" t="s">
        <v>17</v>
      </c>
    </row>
    <row r="4" s="103" customFormat="1" ht="30" customHeight="1" spans="1:16">
      <c r="A4" s="21">
        <v>138</v>
      </c>
      <c r="B4" s="26">
        <v>21012071</v>
      </c>
      <c r="C4" s="26" t="s">
        <v>18</v>
      </c>
      <c r="D4" s="104">
        <v>104.03</v>
      </c>
      <c r="E4" s="64" t="s">
        <v>19</v>
      </c>
      <c r="F4" s="26">
        <v>99</v>
      </c>
      <c r="G4" s="15">
        <v>3</v>
      </c>
      <c r="H4" s="26">
        <v>100</v>
      </c>
      <c r="I4" s="15">
        <v>1</v>
      </c>
      <c r="J4" s="104">
        <v>102.621</v>
      </c>
      <c r="K4" s="15">
        <v>1</v>
      </c>
      <c r="L4" s="21">
        <v>3.9</v>
      </c>
      <c r="M4" s="26">
        <v>541</v>
      </c>
      <c r="N4" s="26" t="s">
        <v>20</v>
      </c>
      <c r="O4" s="17" t="str">
        <f>_xlfn.DISPIMG("ID_683757A20CF244E487B6566AD972BF0D",1)</f>
        <v>=DISPIMG("ID_683757A20CF244E487B6566AD972BF0D",1)</v>
      </c>
      <c r="P4" s="21"/>
    </row>
    <row r="5" s="103" customFormat="1" ht="30" customHeight="1" spans="1:16">
      <c r="A5" s="21">
        <v>127</v>
      </c>
      <c r="B5" s="26">
        <v>21012007</v>
      </c>
      <c r="C5" s="26" t="s">
        <v>21</v>
      </c>
      <c r="D5" s="104">
        <v>103.59</v>
      </c>
      <c r="E5" s="64" t="s">
        <v>22</v>
      </c>
      <c r="F5" s="26">
        <v>100</v>
      </c>
      <c r="G5" s="15">
        <v>1</v>
      </c>
      <c r="H5" s="26">
        <v>99</v>
      </c>
      <c r="I5" s="15">
        <v>3</v>
      </c>
      <c r="J5" s="104">
        <v>102.413</v>
      </c>
      <c r="K5" s="15">
        <v>2</v>
      </c>
      <c r="L5" s="21">
        <v>3.9</v>
      </c>
      <c r="M5" s="26">
        <v>469</v>
      </c>
      <c r="N5" s="26" t="s">
        <v>20</v>
      </c>
      <c r="O5" s="17" t="str">
        <f>_xlfn.DISPIMG("ID_6F52D634E07148B593CEE84254D5B55F",1)</f>
        <v>=DISPIMG("ID_6F52D634E07148B593CEE84254D5B55F",1)</v>
      </c>
      <c r="P5" s="21"/>
    </row>
    <row r="6" s="103" customFormat="1" ht="30" customHeight="1" spans="1:16">
      <c r="A6" s="21">
        <v>64</v>
      </c>
      <c r="B6" s="21">
        <v>21012144</v>
      </c>
      <c r="C6" s="21" t="s">
        <v>23</v>
      </c>
      <c r="D6" s="104">
        <v>102.69</v>
      </c>
      <c r="E6" s="64" t="s">
        <v>24</v>
      </c>
      <c r="F6" s="26">
        <v>92.5</v>
      </c>
      <c r="G6" s="15">
        <v>4</v>
      </c>
      <c r="H6" s="21">
        <v>100</v>
      </c>
      <c r="I6" s="15">
        <v>1</v>
      </c>
      <c r="J6" s="104">
        <v>100.383</v>
      </c>
      <c r="K6" s="15">
        <v>3</v>
      </c>
      <c r="L6" s="21">
        <v>3.72</v>
      </c>
      <c r="M6" s="21">
        <v>426</v>
      </c>
      <c r="N6" s="105" t="s">
        <v>20</v>
      </c>
      <c r="O6" s="21" t="str">
        <f>_xlfn.DISPIMG("ID_D9AC2E4C2B594B7494E4CB3D68316F8A",1)</f>
        <v>=DISPIMG("ID_D9AC2E4C2B594B7494E4CB3D68316F8A",1)</v>
      </c>
      <c r="P6" s="21"/>
    </row>
    <row r="7" s="103" customFormat="1" ht="30" customHeight="1" spans="1:16">
      <c r="A7" s="21">
        <v>146</v>
      </c>
      <c r="B7" s="26">
        <v>21012120</v>
      </c>
      <c r="C7" s="26" t="s">
        <v>25</v>
      </c>
      <c r="D7" s="104">
        <v>100.66</v>
      </c>
      <c r="E7" s="64" t="s">
        <v>26</v>
      </c>
      <c r="F7" s="26">
        <v>100</v>
      </c>
      <c r="G7" s="15">
        <v>1</v>
      </c>
      <c r="H7" s="26">
        <v>70</v>
      </c>
      <c r="I7" s="15">
        <v>12</v>
      </c>
      <c r="J7" s="104">
        <v>97.462</v>
      </c>
      <c r="K7" s="15">
        <v>4</v>
      </c>
      <c r="L7" s="21">
        <v>3.59</v>
      </c>
      <c r="M7" s="26">
        <v>469</v>
      </c>
      <c r="N7" s="26" t="s">
        <v>27</v>
      </c>
      <c r="O7" s="17" t="str">
        <f>_xlfn.DISPIMG("ID_ACE6D4756C1A42E8A62ACDB6029E7727",1)</f>
        <v>=DISPIMG("ID_ACE6D4756C1A42E8A62ACDB6029E7727",1)</v>
      </c>
      <c r="P7" s="21"/>
    </row>
    <row r="8" s="103" customFormat="1" ht="30" customHeight="1" spans="1:16">
      <c r="A8" s="21">
        <v>155</v>
      </c>
      <c r="B8" s="26">
        <v>21012148</v>
      </c>
      <c r="C8" s="26" t="s">
        <v>28</v>
      </c>
      <c r="D8" s="104">
        <v>99.97</v>
      </c>
      <c r="E8" s="64" t="s">
        <v>29</v>
      </c>
      <c r="F8" s="26">
        <v>89</v>
      </c>
      <c r="G8" s="15">
        <v>5</v>
      </c>
      <c r="H8" s="26">
        <v>88.5</v>
      </c>
      <c r="I8" s="15">
        <v>4</v>
      </c>
      <c r="J8" s="104">
        <v>96.629</v>
      </c>
      <c r="K8" s="15">
        <v>5</v>
      </c>
      <c r="L8" s="21">
        <v>3.53</v>
      </c>
      <c r="M8" s="26">
        <v>404</v>
      </c>
      <c r="N8" s="26" t="s">
        <v>20</v>
      </c>
      <c r="O8" s="17" t="str">
        <f>_xlfn.DISPIMG("ID_5E591CF41BE34AE2B7D16AFB33A56CD6",1)</f>
        <v>=DISPIMG("ID_5E591CF41BE34AE2B7D16AFB33A56CD6",1)</v>
      </c>
      <c r="P8" s="21"/>
    </row>
    <row r="9" s="103" customFormat="1" ht="30" customHeight="1" spans="1:16">
      <c r="A9" s="21">
        <v>100</v>
      </c>
      <c r="B9" s="26">
        <v>21012026</v>
      </c>
      <c r="C9" s="26" t="s">
        <v>30</v>
      </c>
      <c r="D9" s="104">
        <v>105.1</v>
      </c>
      <c r="E9" s="64" t="s">
        <v>31</v>
      </c>
      <c r="F9" s="26">
        <v>70.5</v>
      </c>
      <c r="G9" s="15">
        <v>18</v>
      </c>
      <c r="H9" s="26">
        <v>85.5</v>
      </c>
      <c r="I9" s="15">
        <v>7</v>
      </c>
      <c r="J9" s="104">
        <v>96.22</v>
      </c>
      <c r="K9" s="15">
        <v>6</v>
      </c>
      <c r="L9" s="21">
        <v>3.97</v>
      </c>
      <c r="M9" s="26">
        <v>465</v>
      </c>
      <c r="N9" s="105" t="s">
        <v>27</v>
      </c>
      <c r="O9" s="17" t="str">
        <f>_xlfn.DISPIMG("ID_175BC80E5D244DEA8E89C69806690501",1)</f>
        <v>=DISPIMG("ID_175BC80E5D244DEA8E89C69806690501",1)</v>
      </c>
      <c r="P9" s="21"/>
    </row>
    <row r="10" s="103" customFormat="1" ht="30" customHeight="1" spans="1:16">
      <c r="A10" s="21">
        <v>128</v>
      </c>
      <c r="B10" s="26">
        <v>21012016</v>
      </c>
      <c r="C10" s="26" t="s">
        <v>32</v>
      </c>
      <c r="D10" s="104">
        <v>103.79</v>
      </c>
      <c r="E10" s="64" t="s">
        <v>33</v>
      </c>
      <c r="F10" s="26">
        <v>73.5</v>
      </c>
      <c r="G10" s="15">
        <v>14</v>
      </c>
      <c r="H10" s="26">
        <v>88</v>
      </c>
      <c r="I10" s="15">
        <v>5</v>
      </c>
      <c r="J10" s="104">
        <v>96.153</v>
      </c>
      <c r="K10" s="15">
        <v>7</v>
      </c>
      <c r="L10" s="21">
        <v>3.9</v>
      </c>
      <c r="M10" s="26">
        <v>488</v>
      </c>
      <c r="N10" s="26" t="s">
        <v>20</v>
      </c>
      <c r="O10" s="17" t="str">
        <f>_xlfn.DISPIMG("ID_834E695137D140089BCC10E679785AF6",1)</f>
        <v>=DISPIMG("ID_834E695137D140089BCC10E679785AF6",1)</v>
      </c>
      <c r="P10" s="21"/>
    </row>
    <row r="11" s="103" customFormat="1" ht="30" customHeight="1" spans="1:16">
      <c r="A11" s="21">
        <v>99</v>
      </c>
      <c r="B11" s="26">
        <v>21012018</v>
      </c>
      <c r="C11" s="26" t="s">
        <v>34</v>
      </c>
      <c r="D11" s="104">
        <v>102.97</v>
      </c>
      <c r="E11" s="64" t="s">
        <v>35</v>
      </c>
      <c r="F11" s="26">
        <v>79.5</v>
      </c>
      <c r="G11" s="15">
        <v>8</v>
      </c>
      <c r="H11" s="26">
        <v>77</v>
      </c>
      <c r="I11" s="15">
        <v>9</v>
      </c>
      <c r="J11" s="104">
        <v>95.679</v>
      </c>
      <c r="K11" s="15">
        <v>8</v>
      </c>
      <c r="L11" s="21">
        <v>3.83</v>
      </c>
      <c r="M11" s="26">
        <v>527</v>
      </c>
      <c r="N11" s="105" t="s">
        <v>27</v>
      </c>
      <c r="O11" s="17" t="str">
        <f>_xlfn.DISPIMG("ID_CAFEA503AF144665922C4D183E2D96BA",1)</f>
        <v>=DISPIMG("ID_CAFEA503AF144665922C4D183E2D96BA",1)</v>
      </c>
      <c r="P11" s="21"/>
    </row>
    <row r="12" s="103" customFormat="1" ht="30" customHeight="1" spans="1:16">
      <c r="A12" s="21">
        <v>148</v>
      </c>
      <c r="B12" s="26">
        <v>21012130</v>
      </c>
      <c r="C12" s="26" t="s">
        <v>36</v>
      </c>
      <c r="D12" s="104">
        <v>102.76</v>
      </c>
      <c r="E12" s="64" t="s">
        <v>37</v>
      </c>
      <c r="F12" s="26">
        <v>84</v>
      </c>
      <c r="G12" s="15">
        <v>6</v>
      </c>
      <c r="H12" s="26">
        <v>69</v>
      </c>
      <c r="I12" s="15">
        <v>13</v>
      </c>
      <c r="J12" s="104">
        <v>95.632</v>
      </c>
      <c r="K12" s="15">
        <v>9</v>
      </c>
      <c r="L12" s="21">
        <v>3.86</v>
      </c>
      <c r="M12" s="26">
        <v>452</v>
      </c>
      <c r="N12" s="26" t="s">
        <v>20</v>
      </c>
      <c r="O12" s="17" t="str">
        <f>_xlfn.DISPIMG("ID_90B9B28B007741BA8CAC3FB908965332",1)</f>
        <v>=DISPIMG("ID_90B9B28B007741BA8CAC3FB908965332",1)</v>
      </c>
      <c r="P12" s="21"/>
    </row>
    <row r="13" s="103" customFormat="1" ht="30" customHeight="1" spans="1:16">
      <c r="A13" s="21">
        <v>115</v>
      </c>
      <c r="B13" s="26">
        <v>21012108</v>
      </c>
      <c r="C13" s="26" t="s">
        <v>38</v>
      </c>
      <c r="D13" s="104">
        <v>100.59</v>
      </c>
      <c r="E13" s="64" t="s">
        <v>39</v>
      </c>
      <c r="F13" s="26">
        <v>75.5</v>
      </c>
      <c r="G13" s="15">
        <v>11</v>
      </c>
      <c r="H13" s="26">
        <v>84</v>
      </c>
      <c r="I13" s="15">
        <v>8</v>
      </c>
      <c r="J13" s="104">
        <v>93.913</v>
      </c>
      <c r="K13" s="15">
        <v>10</v>
      </c>
      <c r="L13" s="21">
        <v>3.55</v>
      </c>
      <c r="M13" s="26">
        <v>489</v>
      </c>
      <c r="N13" s="26"/>
      <c r="O13" s="17" t="str">
        <f>_xlfn.DISPIMG("ID_0FAEE720185142ACA4D0BEFBC4494BDE",1)</f>
        <v>=DISPIMG("ID_0FAEE720185142ACA4D0BEFBC4494BDE",1)</v>
      </c>
      <c r="P13" s="21"/>
    </row>
    <row r="14" s="103" customFormat="1" ht="30" customHeight="1" spans="1:16">
      <c r="A14" s="21">
        <v>151</v>
      </c>
      <c r="B14" s="26">
        <v>21012117</v>
      </c>
      <c r="C14" s="26" t="s">
        <v>40</v>
      </c>
      <c r="D14" s="104">
        <v>101.37</v>
      </c>
      <c r="E14" s="64" t="s">
        <v>41</v>
      </c>
      <c r="F14" s="26">
        <v>81.5</v>
      </c>
      <c r="G14" s="15">
        <v>7</v>
      </c>
      <c r="H14" s="26">
        <v>51</v>
      </c>
      <c r="I14" s="15">
        <v>52</v>
      </c>
      <c r="J14" s="104">
        <v>92.359</v>
      </c>
      <c r="K14" s="15">
        <v>11</v>
      </c>
      <c r="L14" s="21">
        <v>3.69</v>
      </c>
      <c r="M14" s="26">
        <v>458</v>
      </c>
      <c r="N14" s="26" t="s">
        <v>20</v>
      </c>
      <c r="O14" s="17" t="str">
        <f>_xlfn.DISPIMG("ID_71C70DCD14394BBDA07BD7D9A5E6D41A",1)</f>
        <v>=DISPIMG("ID_71C70DCD14394BBDA07BD7D9A5E6D41A",1)</v>
      </c>
      <c r="P14" s="21"/>
    </row>
    <row r="15" s="103" customFormat="1" ht="30" customHeight="1" spans="1:16">
      <c r="A15" s="21">
        <v>61</v>
      </c>
      <c r="B15" s="21">
        <v>21012132</v>
      </c>
      <c r="C15" s="21" t="s">
        <v>42</v>
      </c>
      <c r="D15" s="104">
        <v>102.14</v>
      </c>
      <c r="E15" s="64" t="s">
        <v>43</v>
      </c>
      <c r="F15" s="26">
        <v>73</v>
      </c>
      <c r="G15" s="15">
        <v>15</v>
      </c>
      <c r="H15" s="26">
        <v>59</v>
      </c>
      <c r="I15" s="15">
        <v>27</v>
      </c>
      <c r="J15" s="104">
        <v>91.998</v>
      </c>
      <c r="K15" s="15">
        <v>12</v>
      </c>
      <c r="L15" s="21">
        <v>3.79</v>
      </c>
      <c r="M15" s="21">
        <v>483</v>
      </c>
      <c r="N15" s="105" t="s">
        <v>20</v>
      </c>
      <c r="O15" s="21" t="str">
        <f>_xlfn.DISPIMG("ID_E92652EE3D6E459DAA6A9B6B1CF7F60E",1)</f>
        <v>=DISPIMG("ID_E92652EE3D6E459DAA6A9B6B1CF7F60E",1)</v>
      </c>
      <c r="P15" s="21"/>
    </row>
    <row r="16" s="103" customFormat="1" ht="30" customHeight="1" spans="1:16">
      <c r="A16" s="21">
        <v>42</v>
      </c>
      <c r="B16" s="21">
        <v>21012035</v>
      </c>
      <c r="C16" s="21" t="s">
        <v>44</v>
      </c>
      <c r="D16" s="104">
        <v>103.24</v>
      </c>
      <c r="E16" s="64" t="s">
        <v>45</v>
      </c>
      <c r="F16" s="26">
        <v>67.5</v>
      </c>
      <c r="G16" s="15">
        <v>29</v>
      </c>
      <c r="H16" s="26">
        <v>61.5</v>
      </c>
      <c r="I16" s="15">
        <v>20</v>
      </c>
      <c r="J16" s="104">
        <v>91.918</v>
      </c>
      <c r="K16" s="15">
        <v>13</v>
      </c>
      <c r="L16" s="21">
        <v>3.83</v>
      </c>
      <c r="M16" s="21">
        <v>511</v>
      </c>
      <c r="N16" s="105" t="s">
        <v>20</v>
      </c>
      <c r="O16" s="21" t="str">
        <f>_xlfn.DISPIMG("ID_3D21938855124DF68B188B390CAAF63A",1)</f>
        <v>=DISPIMG("ID_3D21938855124DF68B188B390CAAF63A",1)</v>
      </c>
      <c r="P16" s="21"/>
    </row>
    <row r="17" s="103" customFormat="1" ht="30" customHeight="1" spans="1:16">
      <c r="A17" s="21">
        <v>101</v>
      </c>
      <c r="B17" s="26">
        <v>21012029</v>
      </c>
      <c r="C17" s="26" t="s">
        <v>46</v>
      </c>
      <c r="D17" s="104">
        <v>103.48</v>
      </c>
      <c r="E17" s="64" t="s">
        <v>47</v>
      </c>
      <c r="F17" s="26">
        <v>66</v>
      </c>
      <c r="G17" s="15">
        <v>36</v>
      </c>
      <c r="H17" s="26">
        <v>62</v>
      </c>
      <c r="I17" s="15">
        <v>18</v>
      </c>
      <c r="J17" s="104">
        <v>91.836</v>
      </c>
      <c r="K17" s="15">
        <v>14</v>
      </c>
      <c r="L17" s="21">
        <v>3.9</v>
      </c>
      <c r="M17" s="26">
        <v>542</v>
      </c>
      <c r="N17" s="105" t="s">
        <v>27</v>
      </c>
      <c r="O17" s="17" t="str">
        <f>_xlfn.DISPIMG("ID_ECD49A0479BE4A9EBA14814787668E30",1)</f>
        <v>=DISPIMG("ID_ECD49A0479BE4A9EBA14814787668E30",1)</v>
      </c>
      <c r="P17" s="21"/>
    </row>
    <row r="18" s="103" customFormat="1" ht="30" customHeight="1" spans="1:16">
      <c r="A18" s="21">
        <v>57</v>
      </c>
      <c r="B18" s="21">
        <v>21012111</v>
      </c>
      <c r="C18" s="21" t="s">
        <v>48</v>
      </c>
      <c r="D18" s="104">
        <v>97.41</v>
      </c>
      <c r="E18" s="64" t="s">
        <v>49</v>
      </c>
      <c r="F18" s="26">
        <v>78.5</v>
      </c>
      <c r="G18" s="15">
        <v>9</v>
      </c>
      <c r="H18" s="26">
        <v>62</v>
      </c>
      <c r="I18" s="15">
        <v>18</v>
      </c>
      <c r="J18" s="104">
        <v>90.087</v>
      </c>
      <c r="K18" s="15">
        <v>15</v>
      </c>
      <c r="L18" s="21">
        <v>3.26</v>
      </c>
      <c r="M18" s="21">
        <v>500</v>
      </c>
      <c r="N18" s="105" t="s">
        <v>20</v>
      </c>
      <c r="O18" s="21" t="str">
        <f>_xlfn.DISPIMG("ID_6EAE095C84C444328C98807FBA53734F",1)</f>
        <v>=DISPIMG("ID_6EAE095C84C444328C98807FBA53734F",1)</v>
      </c>
      <c r="P18" s="21"/>
    </row>
    <row r="19" s="103" customFormat="1" ht="30" customHeight="1" spans="1:16">
      <c r="A19" s="21">
        <v>87</v>
      </c>
      <c r="B19" s="21">
        <v>21012109</v>
      </c>
      <c r="C19" s="21" t="s">
        <v>50</v>
      </c>
      <c r="D19" s="104">
        <v>94.97</v>
      </c>
      <c r="E19" s="64" t="s">
        <v>51</v>
      </c>
      <c r="F19" s="21">
        <v>78.5</v>
      </c>
      <c r="G19" s="15">
        <v>9</v>
      </c>
      <c r="H19" s="21">
        <v>74</v>
      </c>
      <c r="I19" s="15">
        <v>11</v>
      </c>
      <c r="J19" s="104">
        <v>89.579</v>
      </c>
      <c r="K19" s="15">
        <v>16</v>
      </c>
      <c r="L19" s="21">
        <v>3.38</v>
      </c>
      <c r="M19" s="21">
        <v>460</v>
      </c>
      <c r="N19" s="26" t="s">
        <v>27</v>
      </c>
      <c r="O19" s="17" t="str">
        <f>_xlfn.DISPIMG("ID_E25EC9CECEC042F89E171D8582269DEF",1)</f>
        <v>=DISPIMG("ID_E25EC9CECEC042F89E171D8582269DEF",1)</v>
      </c>
      <c r="P19" s="21"/>
    </row>
    <row r="20" s="103" customFormat="1" ht="30" customHeight="1" spans="1:16">
      <c r="A20" s="21">
        <v>97</v>
      </c>
      <c r="B20" s="26">
        <v>21012008</v>
      </c>
      <c r="C20" s="26" t="s">
        <v>52</v>
      </c>
      <c r="D20" s="104">
        <v>99.52</v>
      </c>
      <c r="E20" s="64" t="s">
        <v>53</v>
      </c>
      <c r="F20" s="26">
        <v>69</v>
      </c>
      <c r="G20" s="15">
        <v>24</v>
      </c>
      <c r="H20" s="26">
        <v>59</v>
      </c>
      <c r="I20" s="15">
        <v>27</v>
      </c>
      <c r="J20" s="104">
        <v>89.364</v>
      </c>
      <c r="K20" s="15">
        <v>17</v>
      </c>
      <c r="L20" s="21">
        <v>3.72</v>
      </c>
      <c r="M20" s="26"/>
      <c r="N20" s="26"/>
      <c r="O20" s="17" t="str">
        <f>_xlfn.DISPIMG("ID_744E1C5EA7C24468960DAA33BBC558BE",1)</f>
        <v>=DISPIMG("ID_744E1C5EA7C24468960DAA33BBC558BE",1)</v>
      </c>
      <c r="P20" s="21"/>
    </row>
    <row r="21" s="103" customFormat="1" ht="30" customHeight="1" spans="1:16">
      <c r="A21" s="21">
        <v>141</v>
      </c>
      <c r="B21" s="26">
        <v>21012084</v>
      </c>
      <c r="C21" s="26" t="s">
        <v>54</v>
      </c>
      <c r="D21" s="104">
        <v>96.62</v>
      </c>
      <c r="E21" s="64" t="s">
        <v>55</v>
      </c>
      <c r="F21" s="26">
        <v>72</v>
      </c>
      <c r="G21" s="15">
        <v>16</v>
      </c>
      <c r="H21" s="26">
        <v>67</v>
      </c>
      <c r="I21" s="15">
        <v>16</v>
      </c>
      <c r="J21" s="104">
        <v>88.734</v>
      </c>
      <c r="K21" s="15">
        <v>18</v>
      </c>
      <c r="L21" s="21">
        <v>3.22</v>
      </c>
      <c r="M21" s="26">
        <v>458</v>
      </c>
      <c r="N21" s="26" t="s">
        <v>20</v>
      </c>
      <c r="O21" s="17" t="str">
        <f>_xlfn.DISPIMG("ID_C7D2FDFC9359478BAD756DFB4878C8B6",1)</f>
        <v>=DISPIMG("ID_C7D2FDFC9359478BAD756DFB4878C8B6",1)</v>
      </c>
      <c r="P21" s="21"/>
    </row>
    <row r="22" s="103" customFormat="1" ht="30" customHeight="1" spans="1:16">
      <c r="A22" s="21">
        <v>96</v>
      </c>
      <c r="B22" s="26">
        <v>21012005</v>
      </c>
      <c r="C22" s="26" t="s">
        <v>56</v>
      </c>
      <c r="D22" s="104">
        <v>99.76</v>
      </c>
      <c r="E22" s="64" t="s">
        <v>57</v>
      </c>
      <c r="F22" s="26">
        <v>64</v>
      </c>
      <c r="G22" s="15">
        <v>48</v>
      </c>
      <c r="H22" s="26">
        <v>55</v>
      </c>
      <c r="I22" s="15">
        <v>40</v>
      </c>
      <c r="J22" s="104">
        <v>88.132</v>
      </c>
      <c r="K22" s="15">
        <v>19</v>
      </c>
      <c r="L22" s="21">
        <v>3.5</v>
      </c>
      <c r="M22" s="26">
        <v>499</v>
      </c>
      <c r="N22" s="26" t="s">
        <v>27</v>
      </c>
      <c r="O22" s="17" t="str">
        <f>_xlfn.DISPIMG("ID_77EEE50D838843DC9C4910B7ADB0C470",1)</f>
        <v>=DISPIMG("ID_77EEE50D838843DC9C4910B7ADB0C470",1)</v>
      </c>
      <c r="P22" s="21"/>
    </row>
    <row r="23" s="103" customFormat="1" ht="30" customHeight="1" spans="1:16">
      <c r="A23" s="21">
        <v>144</v>
      </c>
      <c r="B23" s="26">
        <v>21012106</v>
      </c>
      <c r="C23" s="26" t="s">
        <v>58</v>
      </c>
      <c r="D23" s="104">
        <v>97.76</v>
      </c>
      <c r="E23" s="64" t="s">
        <v>59</v>
      </c>
      <c r="F23" s="26">
        <v>66</v>
      </c>
      <c r="G23" s="15">
        <v>36</v>
      </c>
      <c r="H23" s="26">
        <v>54</v>
      </c>
      <c r="I23" s="15">
        <v>45</v>
      </c>
      <c r="J23" s="104">
        <v>87.032</v>
      </c>
      <c r="K23" s="15">
        <v>20</v>
      </c>
      <c r="L23" s="21">
        <v>3.29</v>
      </c>
      <c r="M23" s="26">
        <v>425</v>
      </c>
      <c r="N23" s="26" t="s">
        <v>27</v>
      </c>
      <c r="O23" s="17" t="str">
        <f>_xlfn.DISPIMG("ID_62F92E6F209F4331B36FC44E51530656",1)</f>
        <v>=DISPIMG("ID_62F92E6F209F4331B36FC44E51530656",1)</v>
      </c>
      <c r="P23" s="21"/>
    </row>
    <row r="24" s="103" customFormat="1" ht="30" customHeight="1" spans="1:16">
      <c r="A24" s="21">
        <v>131</v>
      </c>
      <c r="B24" s="26">
        <v>21012028</v>
      </c>
      <c r="C24" s="26" t="s">
        <v>60</v>
      </c>
      <c r="D24" s="104">
        <v>94.76</v>
      </c>
      <c r="E24" s="64" t="s">
        <v>61</v>
      </c>
      <c r="F24" s="26">
        <v>71</v>
      </c>
      <c r="G24" s="15">
        <v>17</v>
      </c>
      <c r="H24" s="26">
        <v>60</v>
      </c>
      <c r="I24" s="15">
        <v>21</v>
      </c>
      <c r="J24" s="104">
        <v>86.532</v>
      </c>
      <c r="K24" s="15">
        <v>21</v>
      </c>
      <c r="L24" s="21">
        <v>3.88</v>
      </c>
      <c r="M24" s="26">
        <v>465</v>
      </c>
      <c r="N24" s="26" t="s">
        <v>27</v>
      </c>
      <c r="O24" s="17" t="str">
        <f>_xlfn.DISPIMG("ID_6B1D743D192B4931A070D23A4B692881",1)</f>
        <v>=DISPIMG("ID_6B1D743D192B4931A070D23A4B692881",1)</v>
      </c>
      <c r="P24" s="21"/>
    </row>
    <row r="25" s="103" customFormat="1" ht="30" customHeight="1" spans="1:16">
      <c r="A25" s="21">
        <v>98</v>
      </c>
      <c r="B25" s="26">
        <v>21012015</v>
      </c>
      <c r="C25" s="26" t="s">
        <v>62</v>
      </c>
      <c r="D25" s="104">
        <v>95.41</v>
      </c>
      <c r="E25" s="64" t="s">
        <v>63</v>
      </c>
      <c r="F25" s="26">
        <v>70.5</v>
      </c>
      <c r="G25" s="15">
        <v>18</v>
      </c>
      <c r="H25" s="26">
        <v>55</v>
      </c>
      <c r="I25" s="15">
        <v>40</v>
      </c>
      <c r="J25" s="104">
        <v>86.387</v>
      </c>
      <c r="K25" s="15">
        <v>22</v>
      </c>
      <c r="L25" s="21">
        <v>3.48</v>
      </c>
      <c r="M25" s="26">
        <v>489</v>
      </c>
      <c r="N25" s="26" t="s">
        <v>27</v>
      </c>
      <c r="O25" s="17" t="str">
        <f>_xlfn.DISPIMG("ID_D5D0B59EACA34595AA20E89475C9ECB8",1)</f>
        <v>=DISPIMG("ID_D5D0B59EACA34595AA20E89475C9ECB8",1)</v>
      </c>
      <c r="P25" s="21"/>
    </row>
    <row r="26" s="103" customFormat="1" ht="30" customHeight="1" spans="1:16">
      <c r="A26" s="21">
        <v>145</v>
      </c>
      <c r="B26" s="26">
        <v>21012107</v>
      </c>
      <c r="C26" s="26" t="s">
        <v>64</v>
      </c>
      <c r="D26" s="104">
        <v>94.48</v>
      </c>
      <c r="E26" s="64" t="s">
        <v>65</v>
      </c>
      <c r="F26" s="26">
        <v>74.5</v>
      </c>
      <c r="G26" s="15">
        <v>12</v>
      </c>
      <c r="H26" s="26">
        <v>50</v>
      </c>
      <c r="I26" s="15">
        <v>58</v>
      </c>
      <c r="J26" s="104">
        <v>86.036</v>
      </c>
      <c r="K26" s="15">
        <v>23</v>
      </c>
      <c r="L26" s="21">
        <v>2.95</v>
      </c>
      <c r="M26" s="26">
        <v>471</v>
      </c>
      <c r="N26" s="26" t="s">
        <v>20</v>
      </c>
      <c r="O26" s="17" t="str">
        <f>_xlfn.DISPIMG("ID_DDDA7A847897425EB777932C717C0393",1)</f>
        <v>=DISPIMG("ID_DDDA7A847897425EB777932C717C0393",1)</v>
      </c>
      <c r="P26" s="21"/>
    </row>
    <row r="27" s="103" customFormat="1" ht="30" customHeight="1" spans="1:16">
      <c r="A27" s="21">
        <v>121</v>
      </c>
      <c r="B27" s="26">
        <v>21012136</v>
      </c>
      <c r="C27" s="26" t="s">
        <v>66</v>
      </c>
      <c r="D27" s="104">
        <v>97</v>
      </c>
      <c r="E27" s="64" t="s">
        <v>67</v>
      </c>
      <c r="F27" s="26">
        <v>63.5</v>
      </c>
      <c r="G27" s="15">
        <v>74</v>
      </c>
      <c r="H27" s="26">
        <v>50</v>
      </c>
      <c r="I27" s="15">
        <v>58</v>
      </c>
      <c r="J27" s="104">
        <v>85.6</v>
      </c>
      <c r="K27" s="15">
        <v>24</v>
      </c>
      <c r="L27" s="21">
        <v>3.72</v>
      </c>
      <c r="M27" s="26">
        <v>499</v>
      </c>
      <c r="N27" s="105" t="s">
        <v>27</v>
      </c>
      <c r="O27" s="106" t="str">
        <f>_xlfn.DISPIMG("ID_F1ED1C426B89404799C5B2E347325D7E",1)</f>
        <v>=DISPIMG("ID_F1ED1C426B89404799C5B2E347325D7E",1)</v>
      </c>
      <c r="P27" s="21"/>
    </row>
    <row r="28" s="103" customFormat="1" ht="30" customHeight="1" spans="1:16">
      <c r="A28" s="21">
        <v>26</v>
      </c>
      <c r="B28" s="26">
        <v>21012043</v>
      </c>
      <c r="C28" s="26" t="s">
        <v>68</v>
      </c>
      <c r="D28" s="104">
        <v>92.62</v>
      </c>
      <c r="E28" s="64" t="s">
        <v>69</v>
      </c>
      <c r="F28" s="26">
        <v>67</v>
      </c>
      <c r="G28" s="15">
        <v>32</v>
      </c>
      <c r="H28" s="26">
        <v>65</v>
      </c>
      <c r="I28" s="15">
        <v>17</v>
      </c>
      <c r="J28" s="104">
        <v>84.734</v>
      </c>
      <c r="K28" s="15">
        <v>25</v>
      </c>
      <c r="L28" s="21">
        <v>3.48</v>
      </c>
      <c r="M28" s="26">
        <v>467</v>
      </c>
      <c r="N28" s="26" t="s">
        <v>20</v>
      </c>
      <c r="O28" s="106" t="str">
        <f>_xlfn.DISPIMG("ID_B6E45280C125487B8175108FCF9CCE47",1)</f>
        <v>=DISPIMG("ID_B6E45280C125487B8175108FCF9CCE47",1)</v>
      </c>
      <c r="P28" s="26"/>
    </row>
    <row r="29" s="103" customFormat="1" ht="30" customHeight="1" spans="1:16">
      <c r="A29" s="21">
        <v>24</v>
      </c>
      <c r="B29" s="26">
        <v>21012064</v>
      </c>
      <c r="C29" s="26" t="s">
        <v>70</v>
      </c>
      <c r="D29" s="104">
        <v>94.22</v>
      </c>
      <c r="E29" s="64" t="s">
        <v>71</v>
      </c>
      <c r="F29" s="26">
        <v>67.5</v>
      </c>
      <c r="G29" s="15">
        <v>29</v>
      </c>
      <c r="H29" s="26">
        <v>50</v>
      </c>
      <c r="I29" s="15">
        <v>58</v>
      </c>
      <c r="J29" s="104">
        <v>84.454</v>
      </c>
      <c r="K29" s="15">
        <v>26</v>
      </c>
      <c r="L29" s="21">
        <v>3.43</v>
      </c>
      <c r="M29" s="26">
        <v>540</v>
      </c>
      <c r="N29" s="26" t="s">
        <v>20</v>
      </c>
      <c r="O29" s="17" t="str">
        <f>_xlfn.DISPIMG("ID_951F67A02B174399BD38EFD4516794BC",1)</f>
        <v>=DISPIMG("ID_951F67A02B174399BD38EFD4516794BC",1)</v>
      </c>
      <c r="P29" s="26"/>
    </row>
    <row r="30" s="103" customFormat="1" ht="30" customHeight="1" spans="1:16">
      <c r="A30" s="21">
        <v>117</v>
      </c>
      <c r="B30" s="26">
        <v>21012122</v>
      </c>
      <c r="C30" s="26" t="s">
        <v>72</v>
      </c>
      <c r="D30" s="104">
        <v>93.97</v>
      </c>
      <c r="E30" s="64" t="s">
        <v>73</v>
      </c>
      <c r="F30" s="26">
        <v>63.5</v>
      </c>
      <c r="G30" s="15">
        <v>74</v>
      </c>
      <c r="H30" s="26">
        <v>50</v>
      </c>
      <c r="I30" s="15">
        <v>58</v>
      </c>
      <c r="J30" s="104">
        <v>83.479</v>
      </c>
      <c r="K30" s="15">
        <v>27</v>
      </c>
      <c r="L30" s="21">
        <v>3.4</v>
      </c>
      <c r="M30" s="26">
        <v>447</v>
      </c>
      <c r="N30" s="105" t="s">
        <v>27</v>
      </c>
      <c r="O30" s="17" t="str">
        <f>_xlfn.DISPIMG("ID_67A5A10BE2D94EE585CD9A6B36F1FEB5",1)</f>
        <v>=DISPIMG("ID_67A5A10BE2D94EE585CD9A6B36F1FEB5",1)</v>
      </c>
      <c r="P30" s="21"/>
    </row>
    <row r="31" s="103" customFormat="1" ht="30" customHeight="1" spans="1:16">
      <c r="A31" s="21">
        <v>114</v>
      </c>
      <c r="B31" s="26">
        <v>21012105</v>
      </c>
      <c r="C31" s="26" t="s">
        <v>74</v>
      </c>
      <c r="D31" s="104">
        <v>93.05</v>
      </c>
      <c r="E31" s="64" t="s">
        <v>75</v>
      </c>
      <c r="F31" s="26">
        <v>66</v>
      </c>
      <c r="G31" s="15">
        <v>36</v>
      </c>
      <c r="H31" s="26">
        <v>50</v>
      </c>
      <c r="I31" s="15">
        <v>58</v>
      </c>
      <c r="J31" s="104">
        <v>83.335</v>
      </c>
      <c r="K31" s="15">
        <v>28</v>
      </c>
      <c r="L31" s="21">
        <v>3.22</v>
      </c>
      <c r="M31" s="26">
        <v>454</v>
      </c>
      <c r="N31" s="105" t="s">
        <v>27</v>
      </c>
      <c r="O31" s="17" t="str">
        <f>_xlfn.DISPIMG("ID_7BA27B6234F54784B444E7D01D11D62E",1)</f>
        <v>=DISPIMG("ID_7BA27B6234F54784B444E7D01D11D62E",1)</v>
      </c>
      <c r="P31" s="21"/>
    </row>
    <row r="32" s="103" customFormat="1" ht="30" customHeight="1" spans="1:16">
      <c r="A32" s="21">
        <v>74</v>
      </c>
      <c r="B32" s="21">
        <v>21012036</v>
      </c>
      <c r="C32" s="21" t="s">
        <v>76</v>
      </c>
      <c r="D32" s="104">
        <v>91.72</v>
      </c>
      <c r="E32" s="64" t="s">
        <v>77</v>
      </c>
      <c r="F32" s="21">
        <v>70</v>
      </c>
      <c r="G32" s="15">
        <v>20</v>
      </c>
      <c r="H32" s="21">
        <v>50</v>
      </c>
      <c r="I32" s="15">
        <v>58</v>
      </c>
      <c r="J32" s="104">
        <v>83.204</v>
      </c>
      <c r="K32" s="15">
        <v>29</v>
      </c>
      <c r="L32" s="21">
        <v>3.41</v>
      </c>
      <c r="M32" s="21">
        <v>513</v>
      </c>
      <c r="N32" s="21" t="s">
        <v>27</v>
      </c>
      <c r="O32" s="17" t="str">
        <f>_xlfn.DISPIMG("ID_E3C72633E5B941D5977DB1E2202B8B33",1)</f>
        <v>=DISPIMG("ID_E3C72633E5B941D5977DB1E2202B8B33",1)</v>
      </c>
      <c r="P32" s="21"/>
    </row>
    <row r="33" s="103" customFormat="1" ht="30" customHeight="1" spans="1:16">
      <c r="A33" s="21">
        <v>10</v>
      </c>
      <c r="B33" s="26">
        <v>21012102</v>
      </c>
      <c r="C33" s="26" t="s">
        <v>78</v>
      </c>
      <c r="D33" s="104">
        <v>93.93</v>
      </c>
      <c r="E33" s="64" t="s">
        <v>79</v>
      </c>
      <c r="F33" s="26">
        <v>62</v>
      </c>
      <c r="G33" s="15">
        <v>85</v>
      </c>
      <c r="H33" s="26">
        <v>50</v>
      </c>
      <c r="I33" s="15">
        <v>58</v>
      </c>
      <c r="J33" s="104">
        <v>83.151</v>
      </c>
      <c r="K33" s="15">
        <v>30</v>
      </c>
      <c r="L33" s="21">
        <v>2.88</v>
      </c>
      <c r="M33" s="26">
        <v>425</v>
      </c>
      <c r="N33" s="26" t="s">
        <v>20</v>
      </c>
      <c r="O33" s="17" t="str">
        <f>_xlfn.DISPIMG("ID_F9B1C80F5F334639B3AE9CD29B656ABC",1)</f>
        <v>=DISPIMG("ID_F9B1C80F5F334639B3AE9CD29B656ABC",1)</v>
      </c>
      <c r="P33" s="26"/>
    </row>
    <row r="34" s="103" customFormat="1" ht="30" customHeight="1" spans="1:16">
      <c r="A34" s="21">
        <v>122</v>
      </c>
      <c r="B34" s="26">
        <v>21012139</v>
      </c>
      <c r="C34" s="26" t="s">
        <v>80</v>
      </c>
      <c r="D34" s="104">
        <v>91.86</v>
      </c>
      <c r="E34" s="64" t="s">
        <v>81</v>
      </c>
      <c r="F34" s="26">
        <v>69</v>
      </c>
      <c r="G34" s="15">
        <v>24</v>
      </c>
      <c r="H34" s="26">
        <v>50</v>
      </c>
      <c r="I34" s="15">
        <v>58</v>
      </c>
      <c r="J34" s="104">
        <v>83.102</v>
      </c>
      <c r="K34" s="15">
        <v>31</v>
      </c>
      <c r="L34" s="21">
        <v>3.72</v>
      </c>
      <c r="M34" s="26">
        <v>453</v>
      </c>
      <c r="N34" s="105" t="s">
        <v>27</v>
      </c>
      <c r="O34" s="17" t="str">
        <f>_xlfn.DISPIMG("ID_ACF98FED961B4FB08D4B625A97C629F8",1)</f>
        <v>=DISPIMG("ID_ACF98FED961B4FB08D4B625A97C629F8",1)</v>
      </c>
      <c r="P34" s="21"/>
    </row>
    <row r="35" s="103" customFormat="1" ht="30" customHeight="1" spans="1:16">
      <c r="A35" s="21">
        <v>147</v>
      </c>
      <c r="B35" s="26">
        <v>21012121</v>
      </c>
      <c r="C35" s="26" t="s">
        <v>82</v>
      </c>
      <c r="D35" s="104">
        <v>89.97</v>
      </c>
      <c r="E35" s="64" t="s">
        <v>83</v>
      </c>
      <c r="F35" s="26">
        <v>66</v>
      </c>
      <c r="G35" s="15">
        <v>36</v>
      </c>
      <c r="H35" s="26">
        <v>69</v>
      </c>
      <c r="I35" s="15">
        <v>13</v>
      </c>
      <c r="J35" s="104">
        <v>83.079</v>
      </c>
      <c r="K35" s="15">
        <v>32</v>
      </c>
      <c r="L35" s="21">
        <v>3.09</v>
      </c>
      <c r="M35" s="26">
        <v>481</v>
      </c>
      <c r="N35" s="26" t="s">
        <v>20</v>
      </c>
      <c r="O35" s="17" t="str">
        <f>_xlfn.DISPIMG("ID_6E8A48B82FAD45FA8BF1B3E5430576D1",1)</f>
        <v>=DISPIMG("ID_6E8A48B82FAD45FA8BF1B3E5430576D1",1)</v>
      </c>
      <c r="P35" s="21"/>
    </row>
    <row r="36" s="103" customFormat="1" ht="30" customHeight="1" spans="1:16">
      <c r="A36" s="21">
        <v>110</v>
      </c>
      <c r="B36" s="26">
        <v>21012082</v>
      </c>
      <c r="C36" s="26" t="s">
        <v>84</v>
      </c>
      <c r="D36" s="104">
        <v>93.41</v>
      </c>
      <c r="E36" s="64" t="s">
        <v>85</v>
      </c>
      <c r="F36" s="26">
        <v>62.5</v>
      </c>
      <c r="G36" s="15">
        <v>79</v>
      </c>
      <c r="H36" s="26">
        <v>50</v>
      </c>
      <c r="I36" s="15">
        <v>58</v>
      </c>
      <c r="J36" s="104">
        <v>82.887</v>
      </c>
      <c r="K36" s="15">
        <v>33</v>
      </c>
      <c r="L36" s="21">
        <v>3.47</v>
      </c>
      <c r="M36" s="26">
        <v>392</v>
      </c>
      <c r="N36" s="105" t="s">
        <v>27</v>
      </c>
      <c r="O36" s="17" t="str">
        <f>_xlfn.DISPIMG("ID_5204E82EA48A4166A42CB546D0CE922F",1)</f>
        <v>=DISPIMG("ID_5204E82EA48A4166A42CB546D0CE922F",1)</v>
      </c>
      <c r="P36" s="21"/>
    </row>
    <row r="37" s="103" customFormat="1" ht="30" customHeight="1" spans="1:16">
      <c r="A37" s="21">
        <v>14</v>
      </c>
      <c r="B37" s="26">
        <v>21012001</v>
      </c>
      <c r="C37" s="26" t="s">
        <v>86</v>
      </c>
      <c r="D37" s="104">
        <v>89.55</v>
      </c>
      <c r="E37" s="64" t="s">
        <v>87</v>
      </c>
      <c r="F37" s="26">
        <v>66.5</v>
      </c>
      <c r="G37" s="15">
        <v>35</v>
      </c>
      <c r="H37" s="26">
        <v>68</v>
      </c>
      <c r="I37" s="15">
        <v>15</v>
      </c>
      <c r="J37" s="104">
        <v>82.785</v>
      </c>
      <c r="K37" s="15">
        <v>34</v>
      </c>
      <c r="L37" s="21">
        <v>3.34</v>
      </c>
      <c r="M37" s="26">
        <v>438</v>
      </c>
      <c r="N37" s="26" t="s">
        <v>20</v>
      </c>
      <c r="O37" s="17" t="str">
        <f>_xlfn.DISPIMG("ID_97ACCF2C812546D78854E9CC80109562",1)</f>
        <v>=DISPIMG("ID_97ACCF2C812546D78854E9CC80109562",1)</v>
      </c>
      <c r="P37" s="26"/>
    </row>
    <row r="38" s="103" customFormat="1" ht="30" customHeight="1" spans="1:16">
      <c r="A38" s="21">
        <v>102</v>
      </c>
      <c r="B38" s="26">
        <v>21012037</v>
      </c>
      <c r="C38" s="26" t="s">
        <v>88</v>
      </c>
      <c r="D38" s="104">
        <v>90.17</v>
      </c>
      <c r="E38" s="64" t="s">
        <v>89</v>
      </c>
      <c r="F38" s="26">
        <v>68.5</v>
      </c>
      <c r="G38" s="15">
        <v>27</v>
      </c>
      <c r="H38" s="26">
        <v>59</v>
      </c>
      <c r="I38" s="15">
        <v>27</v>
      </c>
      <c r="J38" s="104">
        <v>82.719</v>
      </c>
      <c r="K38" s="15">
        <v>35</v>
      </c>
      <c r="L38" s="21">
        <v>3.55</v>
      </c>
      <c r="M38" s="26">
        <v>562</v>
      </c>
      <c r="N38" s="105" t="s">
        <v>27</v>
      </c>
      <c r="O38" s="17" t="str">
        <f>_xlfn.DISPIMG("ID_C796B9D6D56746DB9129A3CFAEB4C426",1)</f>
        <v>=DISPIMG("ID_C796B9D6D56746DB9129A3CFAEB4C426",1)</v>
      </c>
      <c r="P38" s="21"/>
    </row>
    <row r="39" s="103" customFormat="1" ht="30" customHeight="1" spans="1:16">
      <c r="A39" s="21">
        <v>17</v>
      </c>
      <c r="B39" s="26">
        <v>21012131</v>
      </c>
      <c r="C39" s="26" t="s">
        <v>90</v>
      </c>
      <c r="D39" s="104">
        <v>91.45</v>
      </c>
      <c r="E39" s="64" t="s">
        <v>91</v>
      </c>
      <c r="F39" s="26">
        <v>63</v>
      </c>
      <c r="G39" s="15">
        <v>77</v>
      </c>
      <c r="H39" s="26">
        <v>60</v>
      </c>
      <c r="I39" s="15">
        <v>21</v>
      </c>
      <c r="J39" s="104">
        <v>82.615</v>
      </c>
      <c r="K39" s="15">
        <v>36</v>
      </c>
      <c r="L39" s="21">
        <v>3.62</v>
      </c>
      <c r="M39" s="26">
        <v>474</v>
      </c>
      <c r="N39" s="26" t="s">
        <v>20</v>
      </c>
      <c r="O39" s="17" t="str">
        <f>_xlfn.DISPIMG("ID_FD4B1C87DA8E42BDA81BD5E38279DBE6",1)</f>
        <v>=DISPIMG("ID_FD4B1C87DA8E42BDA81BD5E38279DBE6",1)</v>
      </c>
      <c r="P39" s="26"/>
    </row>
    <row r="40" s="103" customFormat="1" ht="30" customHeight="1" spans="1:16">
      <c r="A40" s="21">
        <v>23</v>
      </c>
      <c r="B40" s="26">
        <v>21012127</v>
      </c>
      <c r="C40" s="26" t="s">
        <v>92</v>
      </c>
      <c r="D40" s="104">
        <v>93.12</v>
      </c>
      <c r="E40" s="64" t="s">
        <v>93</v>
      </c>
      <c r="F40" s="26">
        <v>62</v>
      </c>
      <c r="G40" s="15">
        <v>85</v>
      </c>
      <c r="H40" s="26">
        <v>50</v>
      </c>
      <c r="I40" s="15">
        <v>58</v>
      </c>
      <c r="J40" s="104">
        <v>82.584</v>
      </c>
      <c r="K40" s="15">
        <v>37</v>
      </c>
      <c r="L40" s="21">
        <v>3.5</v>
      </c>
      <c r="M40" s="26">
        <v>498</v>
      </c>
      <c r="N40" s="26" t="s">
        <v>20</v>
      </c>
      <c r="O40" s="17" t="str">
        <f>_xlfn.DISPIMG("ID_BA61EB51BBFE4035B680B7197EFE732F",1)</f>
        <v>=DISPIMG("ID_BA61EB51BBFE4035B680B7197EFE732F",1)</v>
      </c>
      <c r="P40" s="26"/>
    </row>
    <row r="41" s="103" customFormat="1" ht="30" customHeight="1" spans="1:16">
      <c r="A41" s="21">
        <v>60</v>
      </c>
      <c r="B41" s="21">
        <v>21012129</v>
      </c>
      <c r="C41" s="26" t="s">
        <v>94</v>
      </c>
      <c r="D41" s="104">
        <v>91.66</v>
      </c>
      <c r="E41" s="64" t="s">
        <v>95</v>
      </c>
      <c r="F41" s="26">
        <v>67</v>
      </c>
      <c r="G41" s="15">
        <v>32</v>
      </c>
      <c r="H41" s="26">
        <v>50</v>
      </c>
      <c r="I41" s="15">
        <v>58</v>
      </c>
      <c r="J41" s="104">
        <v>82.562</v>
      </c>
      <c r="K41" s="15">
        <v>38</v>
      </c>
      <c r="L41" s="21">
        <v>3.64</v>
      </c>
      <c r="M41" s="26">
        <v>429</v>
      </c>
      <c r="N41" s="26" t="s">
        <v>20</v>
      </c>
      <c r="O41" s="21" t="str">
        <f>_xlfn.DISPIMG("ID_24E86B72711F443F8A702455CDBC2348",1)</f>
        <v>=DISPIMG("ID_24E86B72711F443F8A702455CDBC2348",1)</v>
      </c>
      <c r="P41" s="21"/>
    </row>
    <row r="42" s="103" customFormat="1" ht="30" customHeight="1" spans="1:16">
      <c r="A42" s="21">
        <v>25</v>
      </c>
      <c r="B42" s="26">
        <v>21012044</v>
      </c>
      <c r="C42" s="26" t="s">
        <v>96</v>
      </c>
      <c r="D42" s="104">
        <v>85.13</v>
      </c>
      <c r="E42" s="64" t="s">
        <v>97</v>
      </c>
      <c r="F42" s="21">
        <v>69.5</v>
      </c>
      <c r="G42" s="15">
        <v>23</v>
      </c>
      <c r="H42" s="21">
        <v>87</v>
      </c>
      <c r="I42" s="15">
        <v>6</v>
      </c>
      <c r="J42" s="104">
        <v>82.191</v>
      </c>
      <c r="K42" s="15">
        <v>39</v>
      </c>
      <c r="L42" s="21">
        <v>2.95</v>
      </c>
      <c r="M42" s="26">
        <v>427</v>
      </c>
      <c r="N42" s="26" t="s">
        <v>20</v>
      </c>
      <c r="O42" s="17" t="str">
        <f>_xlfn.DISPIMG("ID_769524B6DABE4FE3A0282D1FD4132F44",1)</f>
        <v>=DISPIMG("ID_769524B6DABE4FE3A0282D1FD4132F44",1)</v>
      </c>
      <c r="P42" s="21"/>
    </row>
    <row r="43" s="103" customFormat="1" ht="30" customHeight="1" spans="1:16">
      <c r="A43" s="21">
        <v>132</v>
      </c>
      <c r="B43" s="26">
        <v>21012038</v>
      </c>
      <c r="C43" s="26" t="s">
        <v>98</v>
      </c>
      <c r="D43" s="104">
        <v>91.72</v>
      </c>
      <c r="E43" s="64" t="s">
        <v>77</v>
      </c>
      <c r="F43" s="26">
        <v>64</v>
      </c>
      <c r="G43" s="15">
        <v>48</v>
      </c>
      <c r="H43" s="26">
        <v>50</v>
      </c>
      <c r="I43" s="15">
        <v>58</v>
      </c>
      <c r="J43" s="104">
        <v>82.004</v>
      </c>
      <c r="K43" s="15">
        <v>40</v>
      </c>
      <c r="L43" s="21">
        <v>3.47</v>
      </c>
      <c r="M43" s="26">
        <v>503</v>
      </c>
      <c r="N43" s="26" t="s">
        <v>27</v>
      </c>
      <c r="O43" s="17" t="str">
        <f>_xlfn.DISPIMG("ID_3AC61EBA796C421E9122E743B2D2CA5A",1)</f>
        <v>=DISPIMG("ID_3AC61EBA796C421E9122E743B2D2CA5A",1)</v>
      </c>
      <c r="P43" s="21"/>
    </row>
    <row r="44" s="103" customFormat="1" ht="30" customHeight="1" spans="1:16">
      <c r="A44" s="21">
        <v>129</v>
      </c>
      <c r="B44" s="26">
        <v>21012017</v>
      </c>
      <c r="C44" s="26" t="s">
        <v>99</v>
      </c>
      <c r="D44" s="104">
        <v>89.34</v>
      </c>
      <c r="E44" s="64" t="s">
        <v>100</v>
      </c>
      <c r="F44" s="26">
        <v>68</v>
      </c>
      <c r="G44" s="15">
        <v>28</v>
      </c>
      <c r="H44" s="26">
        <v>57</v>
      </c>
      <c r="I44" s="15">
        <v>35</v>
      </c>
      <c r="J44" s="104">
        <v>81.838</v>
      </c>
      <c r="K44" s="15">
        <v>41</v>
      </c>
      <c r="L44" s="21">
        <v>3.31</v>
      </c>
      <c r="M44" s="26">
        <v>468</v>
      </c>
      <c r="N44" s="26" t="s">
        <v>20</v>
      </c>
      <c r="O44" s="17" t="str">
        <f>_xlfn.DISPIMG("ID_9C1F97DF6C4D4952837F3E3F3973CB0A",1)</f>
        <v>=DISPIMG("ID_9C1F97DF6C4D4952837F3E3F3973CB0A",1)</v>
      </c>
      <c r="P44" s="21"/>
    </row>
    <row r="45" s="103" customFormat="1" ht="30" customHeight="1" spans="1:16">
      <c r="A45" s="21">
        <v>37</v>
      </c>
      <c r="B45" s="21">
        <v>2012013</v>
      </c>
      <c r="C45" s="21" t="s">
        <v>101</v>
      </c>
      <c r="D45" s="104">
        <v>92.22</v>
      </c>
      <c r="E45" s="64" t="s">
        <v>102</v>
      </c>
      <c r="F45" s="26">
        <v>61</v>
      </c>
      <c r="G45" s="15">
        <v>114</v>
      </c>
      <c r="H45" s="21">
        <v>50</v>
      </c>
      <c r="I45" s="15">
        <v>58</v>
      </c>
      <c r="J45" s="104">
        <v>81.754</v>
      </c>
      <c r="K45" s="15">
        <v>42</v>
      </c>
      <c r="L45" s="21">
        <v>3.48</v>
      </c>
      <c r="M45" s="21">
        <v>501</v>
      </c>
      <c r="N45" s="21" t="s">
        <v>20</v>
      </c>
      <c r="O45" s="21" t="str">
        <f>_xlfn.DISPIMG("ID_3D585C203D2E42619105D844EDBA6E41",1)</f>
        <v>=DISPIMG("ID_3D585C203D2E42619105D844EDBA6E41",1)</v>
      </c>
      <c r="P45" s="21"/>
    </row>
    <row r="46" s="103" customFormat="1" ht="30" customHeight="1" spans="1:16">
      <c r="A46" s="21">
        <v>120</v>
      </c>
      <c r="B46" s="26">
        <v>21012124</v>
      </c>
      <c r="C46" s="26" t="s">
        <v>103</v>
      </c>
      <c r="D46" s="104">
        <v>90.64</v>
      </c>
      <c r="E46" s="64" t="s">
        <v>104</v>
      </c>
      <c r="F46" s="26">
        <v>64</v>
      </c>
      <c r="G46" s="15">
        <v>48</v>
      </c>
      <c r="H46" s="26">
        <v>55</v>
      </c>
      <c r="I46" s="15">
        <v>40</v>
      </c>
      <c r="J46" s="104">
        <v>81.748</v>
      </c>
      <c r="K46" s="15">
        <v>42</v>
      </c>
      <c r="L46" s="21">
        <v>3.28</v>
      </c>
      <c r="M46" s="26">
        <v>468</v>
      </c>
      <c r="N46" s="105" t="s">
        <v>20</v>
      </c>
      <c r="O46" s="17" t="str">
        <f>_xlfn.DISPIMG("ID_014EDCFFA2D844C192DC068E029AE4CD",1)</f>
        <v>=DISPIMG("ID_014EDCFFA2D844C192DC068E029AE4CD",1)</v>
      </c>
      <c r="P46" s="21"/>
    </row>
    <row r="47" s="103" customFormat="1" ht="30" customHeight="1" spans="1:16">
      <c r="A47" s="21">
        <v>21</v>
      </c>
      <c r="B47" s="26">
        <v>20002033</v>
      </c>
      <c r="C47" s="26" t="s">
        <v>105</v>
      </c>
      <c r="D47" s="104">
        <v>92.31</v>
      </c>
      <c r="E47" s="64" t="s">
        <v>106</v>
      </c>
      <c r="F47" s="26">
        <v>60.5</v>
      </c>
      <c r="G47" s="15">
        <v>115</v>
      </c>
      <c r="H47" s="26">
        <v>50</v>
      </c>
      <c r="I47" s="15">
        <v>58</v>
      </c>
      <c r="J47" s="104">
        <v>81.717</v>
      </c>
      <c r="K47" s="15">
        <v>44</v>
      </c>
      <c r="L47" s="21">
        <v>3.5</v>
      </c>
      <c r="M47" s="26">
        <v>520</v>
      </c>
      <c r="N47" s="26" t="s">
        <v>20</v>
      </c>
      <c r="O47" s="17" t="str">
        <f>_xlfn.DISPIMG("ID_08B050D2775D49F4A8F3C98C29DD1DDA",1)</f>
        <v>=DISPIMG("ID_08B050D2775D49F4A8F3C98C29DD1DDA",1)</v>
      </c>
      <c r="P47" s="26"/>
    </row>
    <row r="48" s="103" customFormat="1" ht="30" customHeight="1" spans="1:16">
      <c r="A48" s="21">
        <v>83</v>
      </c>
      <c r="B48" s="21">
        <v>21012086</v>
      </c>
      <c r="C48" s="21" t="s">
        <v>107</v>
      </c>
      <c r="D48" s="104">
        <v>91.14</v>
      </c>
      <c r="E48" s="64" t="s">
        <v>108</v>
      </c>
      <c r="F48" s="21">
        <v>62.5</v>
      </c>
      <c r="G48" s="15">
        <v>79</v>
      </c>
      <c r="H48" s="21">
        <v>50</v>
      </c>
      <c r="I48" s="15">
        <v>58</v>
      </c>
      <c r="J48" s="104">
        <v>81.298</v>
      </c>
      <c r="K48" s="15">
        <v>45</v>
      </c>
      <c r="L48" s="21">
        <v>3.55</v>
      </c>
      <c r="M48" s="21">
        <v>546</v>
      </c>
      <c r="N48" s="26" t="s">
        <v>27</v>
      </c>
      <c r="O48" s="26" t="str">
        <f>_xlfn.DISPIMG("ID_DCB4D494674949C4A100A29A4E36CD24",1)</f>
        <v>=DISPIMG("ID_DCB4D494674949C4A100A29A4E36CD24",1)</v>
      </c>
      <c r="P48" s="21"/>
    </row>
    <row r="49" s="103" customFormat="1" ht="30" customHeight="1" spans="1:16">
      <c r="A49" s="21">
        <v>89</v>
      </c>
      <c r="B49" s="21">
        <v>21012118</v>
      </c>
      <c r="C49" s="21" t="s">
        <v>109</v>
      </c>
      <c r="D49" s="104">
        <v>90.66</v>
      </c>
      <c r="E49" s="64" t="s">
        <v>110</v>
      </c>
      <c r="F49" s="21">
        <v>62</v>
      </c>
      <c r="G49" s="15">
        <v>85</v>
      </c>
      <c r="H49" s="21">
        <v>54</v>
      </c>
      <c r="I49" s="15">
        <v>45</v>
      </c>
      <c r="J49" s="104">
        <v>81.262</v>
      </c>
      <c r="K49" s="15">
        <v>46</v>
      </c>
      <c r="L49" s="21">
        <v>3.6</v>
      </c>
      <c r="M49" s="21">
        <v>494</v>
      </c>
      <c r="N49" s="21" t="s">
        <v>27</v>
      </c>
      <c r="O49" s="17" t="str">
        <f>_xlfn.DISPIMG("ID_03A8F5EE49B046BC8363E327758CB657",1)</f>
        <v>=DISPIMG("ID_03A8F5EE49B046BC8363E327758CB657",1)</v>
      </c>
      <c r="P49" s="21"/>
    </row>
    <row r="50" s="103" customFormat="1" ht="30" customHeight="1" spans="1:16">
      <c r="A50" s="21">
        <v>109</v>
      </c>
      <c r="B50" s="26">
        <v>21012073</v>
      </c>
      <c r="C50" s="26" t="s">
        <v>111</v>
      </c>
      <c r="D50" s="104">
        <v>90.93</v>
      </c>
      <c r="E50" s="64" t="s">
        <v>112</v>
      </c>
      <c r="F50" s="26">
        <v>63</v>
      </c>
      <c r="G50" s="15">
        <v>77</v>
      </c>
      <c r="H50" s="26">
        <v>50</v>
      </c>
      <c r="I50" s="15">
        <v>58</v>
      </c>
      <c r="J50" s="104">
        <v>81.251</v>
      </c>
      <c r="K50" s="15">
        <v>47</v>
      </c>
      <c r="L50" s="21">
        <v>3.45</v>
      </c>
      <c r="M50" s="26">
        <v>438</v>
      </c>
      <c r="N50" s="105" t="s">
        <v>27</v>
      </c>
      <c r="O50" s="17" t="str">
        <f>_xlfn.DISPIMG("ID_60868A461C5C4ABFAAD8E77119EC4B7D",1)</f>
        <v>=DISPIMG("ID_60868A461C5C4ABFAAD8E77119EC4B7D",1)</v>
      </c>
      <c r="P50" s="21"/>
    </row>
    <row r="51" s="103" customFormat="1" ht="30" customHeight="1" spans="1:16">
      <c r="A51" s="21">
        <v>18</v>
      </c>
      <c r="B51" s="26">
        <v>21012143</v>
      </c>
      <c r="C51" s="26" t="s">
        <v>113</v>
      </c>
      <c r="D51" s="104">
        <v>89.43</v>
      </c>
      <c r="E51" s="64" t="s">
        <v>114</v>
      </c>
      <c r="F51" s="26">
        <v>67</v>
      </c>
      <c r="G51" s="15">
        <v>32</v>
      </c>
      <c r="H51" s="26">
        <v>50</v>
      </c>
      <c r="I51" s="15">
        <v>58</v>
      </c>
      <c r="J51" s="104">
        <v>81.001</v>
      </c>
      <c r="K51" s="15">
        <v>48</v>
      </c>
      <c r="L51" s="21">
        <v>3.34</v>
      </c>
      <c r="M51" s="26">
        <v>484</v>
      </c>
      <c r="N51" s="26" t="s">
        <v>20</v>
      </c>
      <c r="O51" s="17" t="str">
        <f>_xlfn.DISPIMG("ID_BAEB1F49AB0D4522A452FE114611C02A",1)</f>
        <v>=DISPIMG("ID_BAEB1F49AB0D4522A452FE114611C02A",1)</v>
      </c>
      <c r="P51" s="26"/>
    </row>
    <row r="52" s="103" customFormat="1" ht="30" customHeight="1" spans="1:16">
      <c r="A52" s="21">
        <v>154</v>
      </c>
      <c r="B52" s="26">
        <v>21012138</v>
      </c>
      <c r="C52" s="26" t="s">
        <v>115</v>
      </c>
      <c r="D52" s="104">
        <v>88.24</v>
      </c>
      <c r="E52" s="64" t="s">
        <v>116</v>
      </c>
      <c r="F52" s="26">
        <v>70</v>
      </c>
      <c r="G52" s="15">
        <v>20</v>
      </c>
      <c r="H52" s="26">
        <v>51</v>
      </c>
      <c r="I52" s="15">
        <v>52</v>
      </c>
      <c r="J52" s="104">
        <f>D52*0.7+F52*0.2+H52*0.1</f>
        <v>80.868</v>
      </c>
      <c r="K52" s="15">
        <v>49</v>
      </c>
      <c r="L52" s="21">
        <v>3.12</v>
      </c>
      <c r="M52" s="26" t="s">
        <v>117</v>
      </c>
      <c r="N52" s="26" t="s">
        <v>20</v>
      </c>
      <c r="O52" s="26" t="str">
        <f>_xlfn.DISPIMG("ID_22322D0B20874A2595052F55315A3613",1)</f>
        <v>=DISPIMG("ID_22322D0B20874A2595052F55315A3613",1)</v>
      </c>
      <c r="P52" s="21"/>
    </row>
    <row r="53" s="103" customFormat="1" ht="30" customHeight="1" spans="1:16">
      <c r="A53" s="21">
        <v>67</v>
      </c>
      <c r="B53" s="21" t="s">
        <v>118</v>
      </c>
      <c r="C53" s="21" t="s">
        <v>119</v>
      </c>
      <c r="D53" s="104">
        <v>90.59</v>
      </c>
      <c r="E53" s="64" t="s">
        <v>120</v>
      </c>
      <c r="F53" s="21">
        <v>62</v>
      </c>
      <c r="G53" s="15">
        <v>85</v>
      </c>
      <c r="H53" s="21">
        <v>50</v>
      </c>
      <c r="I53" s="15">
        <v>58</v>
      </c>
      <c r="J53" s="104">
        <v>80.813</v>
      </c>
      <c r="K53" s="15">
        <v>50</v>
      </c>
      <c r="L53" s="21">
        <v>3.66</v>
      </c>
      <c r="M53" s="21">
        <v>510</v>
      </c>
      <c r="N53" s="21"/>
      <c r="O53" s="17" t="str">
        <f>_xlfn.DISPIMG("ID_B40A970E303E4F5DB3C195D5613C5DEE",1)</f>
        <v>=DISPIMG("ID_B40A970E303E4F5DB3C195D5613C5DEE",1)</v>
      </c>
      <c r="P53" s="21"/>
    </row>
    <row r="54" s="103" customFormat="1" ht="30" customHeight="1" spans="1:16">
      <c r="A54" s="21">
        <v>28</v>
      </c>
      <c r="B54" s="26">
        <v>21012022</v>
      </c>
      <c r="C54" s="26" t="s">
        <v>121</v>
      </c>
      <c r="D54" s="104">
        <v>90.57</v>
      </c>
      <c r="E54" s="64" t="s">
        <v>122</v>
      </c>
      <c r="F54" s="26">
        <v>62</v>
      </c>
      <c r="G54" s="15">
        <v>85</v>
      </c>
      <c r="H54" s="26">
        <v>50</v>
      </c>
      <c r="I54" s="15">
        <v>58</v>
      </c>
      <c r="J54" s="104">
        <v>80.799</v>
      </c>
      <c r="K54" s="15">
        <v>51</v>
      </c>
      <c r="L54" s="21">
        <v>3.5</v>
      </c>
      <c r="M54" s="26">
        <v>495</v>
      </c>
      <c r="N54" s="26" t="s">
        <v>20</v>
      </c>
      <c r="O54" s="17" t="str">
        <f>_xlfn.DISPIMG("ID_0CFE9FC8DA1E4AB8A6762270EF8A4E82",1)</f>
        <v>=DISPIMG("ID_0CFE9FC8DA1E4AB8A6762270EF8A4E82",1)</v>
      </c>
      <c r="P54" s="26"/>
    </row>
    <row r="55" s="103" customFormat="1" ht="30" customHeight="1" spans="1:16">
      <c r="A55" s="21">
        <v>84</v>
      </c>
      <c r="B55" s="21">
        <v>21012092</v>
      </c>
      <c r="C55" s="21" t="s">
        <v>123</v>
      </c>
      <c r="D55" s="104">
        <v>89.21</v>
      </c>
      <c r="E55" s="64" t="s">
        <v>124</v>
      </c>
      <c r="F55" s="21">
        <v>64</v>
      </c>
      <c r="G55" s="15">
        <v>48</v>
      </c>
      <c r="H55" s="21">
        <v>55</v>
      </c>
      <c r="I55" s="15">
        <v>40</v>
      </c>
      <c r="J55" s="104">
        <v>80.747</v>
      </c>
      <c r="K55" s="15">
        <v>52</v>
      </c>
      <c r="L55" s="21">
        <v>3.43</v>
      </c>
      <c r="M55" s="21">
        <v>483</v>
      </c>
      <c r="N55" s="26" t="s">
        <v>27</v>
      </c>
      <c r="O55" s="17" t="str">
        <f>_xlfn.DISPIMG("ID_639461AE4D984CEBA92CD54B362CDAE5",1)</f>
        <v>=DISPIMG("ID_639461AE4D984CEBA92CD54B362CDAE5",1)</v>
      </c>
      <c r="P55" s="21"/>
    </row>
    <row r="56" s="103" customFormat="1" ht="30" customHeight="1" spans="1:16">
      <c r="A56" s="21">
        <v>126</v>
      </c>
      <c r="B56" s="26">
        <v>21012006</v>
      </c>
      <c r="C56" s="26" t="s">
        <v>125</v>
      </c>
      <c r="D56" s="104">
        <v>89.83</v>
      </c>
      <c r="E56" s="64" t="s">
        <v>126</v>
      </c>
      <c r="F56" s="26">
        <v>64</v>
      </c>
      <c r="G56" s="15">
        <v>48</v>
      </c>
      <c r="H56" s="26">
        <v>50.5</v>
      </c>
      <c r="I56" s="15">
        <v>56</v>
      </c>
      <c r="J56" s="104">
        <v>80.731</v>
      </c>
      <c r="K56" s="15">
        <v>53</v>
      </c>
      <c r="L56" s="21">
        <v>3.47</v>
      </c>
      <c r="M56" s="26">
        <v>475</v>
      </c>
      <c r="N56" s="26" t="s">
        <v>27</v>
      </c>
      <c r="O56" s="17" t="str">
        <f>_xlfn.DISPIMG("ID_97041EC4336E4DFFA0842892CEEBB625",1)</f>
        <v>=DISPIMG("ID_97041EC4336E4DFFA0842892CEEBB625",1)</v>
      </c>
      <c r="P56" s="21"/>
    </row>
    <row r="57" s="103" customFormat="1" ht="30" customHeight="1" spans="1:16">
      <c r="A57" s="21">
        <v>108</v>
      </c>
      <c r="B57" s="26">
        <v>21012069</v>
      </c>
      <c r="C57" s="26" t="s">
        <v>127</v>
      </c>
      <c r="D57" s="104">
        <v>90.28</v>
      </c>
      <c r="E57" s="64" t="s">
        <v>128</v>
      </c>
      <c r="F57" s="26">
        <v>62.5</v>
      </c>
      <c r="G57" s="15">
        <v>79</v>
      </c>
      <c r="H57" s="26">
        <v>50</v>
      </c>
      <c r="I57" s="15">
        <v>58</v>
      </c>
      <c r="J57" s="104">
        <v>80.696</v>
      </c>
      <c r="K57" s="15">
        <v>54</v>
      </c>
      <c r="L57" s="21">
        <v>3.64</v>
      </c>
      <c r="M57" s="26">
        <v>494</v>
      </c>
      <c r="N57" s="105" t="s">
        <v>27</v>
      </c>
      <c r="O57" s="17" t="str">
        <f>_xlfn.DISPIMG("ID_57EB71BD5653469AB53E9E5DABE76D29",1)</f>
        <v>=DISPIMG("ID_57EB71BD5653469AB53E9E5DABE76D29",1)</v>
      </c>
      <c r="P57" s="21"/>
    </row>
    <row r="58" s="103" customFormat="1" ht="30" customHeight="1" spans="1:16">
      <c r="A58" s="21">
        <v>153</v>
      </c>
      <c r="B58" s="26">
        <v>21012137</v>
      </c>
      <c r="C58" s="26" t="s">
        <v>129</v>
      </c>
      <c r="D58" s="104">
        <v>89.66</v>
      </c>
      <c r="E58" s="64" t="s">
        <v>130</v>
      </c>
      <c r="F58" s="26">
        <v>64.5</v>
      </c>
      <c r="G58" s="15">
        <v>45</v>
      </c>
      <c r="H58" s="26">
        <v>50</v>
      </c>
      <c r="I58" s="15">
        <v>58</v>
      </c>
      <c r="J58" s="104">
        <v>80.662</v>
      </c>
      <c r="K58" s="15">
        <v>55</v>
      </c>
      <c r="L58" s="21">
        <v>3.55</v>
      </c>
      <c r="M58" s="26">
        <v>502</v>
      </c>
      <c r="N58" s="26" t="s">
        <v>27</v>
      </c>
      <c r="O58" s="17" t="str">
        <f>_xlfn.DISPIMG("ID_B64F6F61EED545479642DCA2AB2270DF",1)</f>
        <v>=DISPIMG("ID_B64F6F61EED545479642DCA2AB2270DF",1)</v>
      </c>
      <c r="P58" s="21"/>
    </row>
    <row r="59" s="103" customFormat="1" ht="30" customHeight="1" spans="1:16">
      <c r="A59" s="21">
        <v>143</v>
      </c>
      <c r="B59" s="26">
        <v>21012097</v>
      </c>
      <c r="C59" s="26" t="s">
        <v>131</v>
      </c>
      <c r="D59" s="104">
        <v>89.66</v>
      </c>
      <c r="E59" s="64" t="s">
        <v>130</v>
      </c>
      <c r="F59" s="26">
        <v>64</v>
      </c>
      <c r="G59" s="15">
        <v>48</v>
      </c>
      <c r="H59" s="26">
        <v>50.5</v>
      </c>
      <c r="I59" s="15">
        <v>56</v>
      </c>
      <c r="J59" s="104">
        <v>80.612</v>
      </c>
      <c r="K59" s="15">
        <v>56</v>
      </c>
      <c r="L59" s="21">
        <v>3.53</v>
      </c>
      <c r="M59" s="26">
        <v>534</v>
      </c>
      <c r="N59" s="26" t="s">
        <v>20</v>
      </c>
      <c r="O59" s="17" t="str">
        <f>_xlfn.DISPIMG("ID_2836EB2365FB48C5A55B903EE90E34BB",1)</f>
        <v>=DISPIMG("ID_2836EB2365FB48C5A55B903EE90E34BB",1)</v>
      </c>
      <c r="P59" s="21"/>
    </row>
    <row r="60" s="103" customFormat="1" ht="30" customHeight="1" spans="1:16">
      <c r="A60" s="21">
        <v>111</v>
      </c>
      <c r="B60" s="26">
        <v>21012085</v>
      </c>
      <c r="C60" s="26" t="s">
        <v>132</v>
      </c>
      <c r="D60" s="104">
        <v>89.34</v>
      </c>
      <c r="E60" s="64" t="s">
        <v>100</v>
      </c>
      <c r="F60" s="26">
        <v>64.5</v>
      </c>
      <c r="G60" s="15">
        <v>45</v>
      </c>
      <c r="H60" s="26">
        <v>50</v>
      </c>
      <c r="I60" s="15">
        <v>58</v>
      </c>
      <c r="J60" s="104">
        <v>80.438</v>
      </c>
      <c r="K60" s="15">
        <v>57</v>
      </c>
      <c r="L60" s="21">
        <v>3.48</v>
      </c>
      <c r="M60" s="26">
        <v>434</v>
      </c>
      <c r="N60" s="105" t="s">
        <v>27</v>
      </c>
      <c r="O60" s="17" t="str">
        <f>_xlfn.DISPIMG("ID_B76FEFD76EAD48FEA3C0821A15C75F91",1)</f>
        <v>=DISPIMG("ID_B76FEFD76EAD48FEA3C0821A15C75F91",1)</v>
      </c>
      <c r="P60" s="21"/>
    </row>
    <row r="61" s="103" customFormat="1" ht="30" customHeight="1" spans="1:16">
      <c r="A61" s="21">
        <v>133</v>
      </c>
      <c r="B61" s="26">
        <v>21012039</v>
      </c>
      <c r="C61" s="26" t="s">
        <v>133</v>
      </c>
      <c r="D61" s="104">
        <v>87.69</v>
      </c>
      <c r="E61" s="64" t="s">
        <v>134</v>
      </c>
      <c r="F61" s="26">
        <v>70</v>
      </c>
      <c r="G61" s="15">
        <v>20</v>
      </c>
      <c r="H61" s="26">
        <v>50</v>
      </c>
      <c r="I61" s="15">
        <v>58</v>
      </c>
      <c r="J61" s="104">
        <v>80.383</v>
      </c>
      <c r="K61" s="15">
        <v>58</v>
      </c>
      <c r="L61" s="21">
        <v>3.26</v>
      </c>
      <c r="M61" s="26">
        <v>423</v>
      </c>
      <c r="N61" s="26" t="s">
        <v>27</v>
      </c>
      <c r="O61" s="17" t="str">
        <f>_xlfn.DISPIMG("ID_8E9C88800D8C47CC9A232867E5FF1A9F",1)</f>
        <v>=DISPIMG("ID_8E9C88800D8C47CC9A232867E5FF1A9F",1)</v>
      </c>
      <c r="P61" s="21"/>
    </row>
    <row r="62" s="103" customFormat="1" ht="30" customHeight="1" spans="1:16">
      <c r="A62" s="21">
        <v>41</v>
      </c>
      <c r="B62" s="21">
        <v>21012031</v>
      </c>
      <c r="C62" s="21" t="s">
        <v>135</v>
      </c>
      <c r="D62" s="104">
        <v>90.31</v>
      </c>
      <c r="E62" s="64" t="s">
        <v>136</v>
      </c>
      <c r="F62" s="26">
        <v>60.5</v>
      </c>
      <c r="G62" s="15">
        <v>115</v>
      </c>
      <c r="H62" s="21">
        <v>50</v>
      </c>
      <c r="I62" s="15">
        <v>58</v>
      </c>
      <c r="J62" s="104">
        <v>80.317</v>
      </c>
      <c r="K62" s="15">
        <v>59</v>
      </c>
      <c r="L62" s="21">
        <v>3.52</v>
      </c>
      <c r="M62" s="21">
        <v>419</v>
      </c>
      <c r="N62" s="105" t="s">
        <v>20</v>
      </c>
      <c r="O62" s="21" t="str">
        <f>_xlfn.DISPIMG("ID_EAC40774C7724601807912C3943B060B",1)</f>
        <v>=DISPIMG("ID_EAC40774C7724601807912C3943B060B",1)</v>
      </c>
      <c r="P62" s="21"/>
    </row>
    <row r="63" s="103" customFormat="1" ht="30" customHeight="1" spans="1:16">
      <c r="A63" s="21">
        <v>88</v>
      </c>
      <c r="B63" s="21">
        <v>21012112</v>
      </c>
      <c r="C63" s="26" t="s">
        <v>137</v>
      </c>
      <c r="D63" s="104">
        <v>87.76</v>
      </c>
      <c r="E63" s="64" t="s">
        <v>138</v>
      </c>
      <c r="F63" s="21">
        <v>64</v>
      </c>
      <c r="G63" s="15">
        <v>48</v>
      </c>
      <c r="H63" s="21">
        <v>60</v>
      </c>
      <c r="I63" s="15">
        <v>21</v>
      </c>
      <c r="J63" s="104">
        <v>80.232</v>
      </c>
      <c r="K63" s="15">
        <v>60</v>
      </c>
      <c r="L63" s="21">
        <v>3.31</v>
      </c>
      <c r="M63" s="21">
        <v>435</v>
      </c>
      <c r="N63" s="26" t="s">
        <v>27</v>
      </c>
      <c r="O63" s="17" t="str">
        <f>_xlfn.DISPIMG("ID_21B1138ED52847FA97BE25B9BACEAF48",1)</f>
        <v>=DISPIMG("ID_21B1138ED52847FA97BE25B9BACEAF48",1)</v>
      </c>
      <c r="P63" s="21"/>
    </row>
    <row r="64" s="103" customFormat="1" ht="30" customHeight="1" spans="1:16">
      <c r="A64" s="21">
        <v>113</v>
      </c>
      <c r="B64" s="26">
        <v>21012098</v>
      </c>
      <c r="C64" s="26" t="s">
        <v>139</v>
      </c>
      <c r="D64" s="104">
        <v>90.19</v>
      </c>
      <c r="E64" s="64" t="s">
        <v>140</v>
      </c>
      <c r="F64" s="26">
        <v>60</v>
      </c>
      <c r="G64" s="15">
        <v>124</v>
      </c>
      <c r="H64" s="26">
        <v>50</v>
      </c>
      <c r="I64" s="15">
        <v>58</v>
      </c>
      <c r="J64" s="104">
        <v>80.133</v>
      </c>
      <c r="K64" s="15">
        <v>61</v>
      </c>
      <c r="L64" s="21">
        <v>3.26</v>
      </c>
      <c r="M64" s="26"/>
      <c r="N64" s="26"/>
      <c r="O64" s="17" t="str">
        <f>_xlfn.DISPIMG("ID_96914C482CBB43838837FFD5EF4963A3",1)</f>
        <v>=DISPIMG("ID_96914C482CBB43838837FFD5EF4963A3",1)</v>
      </c>
      <c r="P64" s="21"/>
    </row>
    <row r="65" s="103" customFormat="1" ht="30" customHeight="1" spans="1:16">
      <c r="A65" s="21">
        <v>9</v>
      </c>
      <c r="B65" s="26">
        <v>21012128</v>
      </c>
      <c r="C65" s="26" t="s">
        <v>141</v>
      </c>
      <c r="D65" s="104">
        <v>88.27</v>
      </c>
      <c r="E65" s="64" t="s">
        <v>142</v>
      </c>
      <c r="F65" s="26">
        <v>64</v>
      </c>
      <c r="G65" s="15">
        <v>48</v>
      </c>
      <c r="H65" s="26">
        <v>54</v>
      </c>
      <c r="I65" s="15">
        <v>45</v>
      </c>
      <c r="J65" s="104">
        <v>79.989</v>
      </c>
      <c r="K65" s="15">
        <v>62</v>
      </c>
      <c r="L65" s="21">
        <v>3.29</v>
      </c>
      <c r="M65" s="26">
        <v>435</v>
      </c>
      <c r="N65" s="26" t="s">
        <v>20</v>
      </c>
      <c r="O65" s="17" t="str">
        <f>_xlfn.DISPIMG("ID_5372E853EC7A45ECB1232CC24068C45D",1)</f>
        <v>=DISPIMG("ID_5372E853EC7A45ECB1232CC24068C45D",1)</v>
      </c>
      <c r="P65" s="26"/>
    </row>
    <row r="66" s="103" customFormat="1" ht="30" customHeight="1" spans="1:16">
      <c r="A66" s="21">
        <v>50</v>
      </c>
      <c r="B66" s="21">
        <v>21012080</v>
      </c>
      <c r="C66" s="21" t="s">
        <v>143</v>
      </c>
      <c r="D66" s="104">
        <v>89.38</v>
      </c>
      <c r="E66" s="64" t="s">
        <v>144</v>
      </c>
      <c r="F66" s="26">
        <v>62</v>
      </c>
      <c r="G66" s="15">
        <v>85</v>
      </c>
      <c r="H66" s="21">
        <v>50</v>
      </c>
      <c r="I66" s="15">
        <v>58</v>
      </c>
      <c r="J66" s="104">
        <v>79.966</v>
      </c>
      <c r="K66" s="15">
        <v>63</v>
      </c>
      <c r="L66" s="21">
        <v>3.4</v>
      </c>
      <c r="M66" s="21">
        <v>438</v>
      </c>
      <c r="N66" s="105" t="s">
        <v>20</v>
      </c>
      <c r="O66" s="21" t="str">
        <f>_xlfn.DISPIMG("ID_7A88F9127E994F36B9D9AA2E5515B09D",1)</f>
        <v>=DISPIMG("ID_7A88F9127E994F36B9D9AA2E5515B09D",1)</v>
      </c>
      <c r="P66" s="21"/>
    </row>
    <row r="67" s="103" customFormat="1" ht="30" customHeight="1" spans="1:16">
      <c r="A67" s="21">
        <v>137</v>
      </c>
      <c r="B67" s="26">
        <v>21012060</v>
      </c>
      <c r="C67" s="26" t="s">
        <v>145</v>
      </c>
      <c r="D67" s="104">
        <v>88.79</v>
      </c>
      <c r="E67" s="64" t="s">
        <v>146</v>
      </c>
      <c r="F67" s="26">
        <v>64</v>
      </c>
      <c r="G67" s="15">
        <v>48</v>
      </c>
      <c r="H67" s="26">
        <v>50</v>
      </c>
      <c r="I67" s="15">
        <v>58</v>
      </c>
      <c r="J67" s="104">
        <v>79.953</v>
      </c>
      <c r="K67" s="15">
        <v>64</v>
      </c>
      <c r="L67" s="21">
        <v>3.4</v>
      </c>
      <c r="M67" s="26">
        <v>423</v>
      </c>
      <c r="N67" s="26" t="s">
        <v>20</v>
      </c>
      <c r="O67" s="17" t="str">
        <f>_xlfn.DISPIMG("ID_DCA1B280B89C43D3938A8CF1746FD163",1)</f>
        <v>=DISPIMG("ID_DCA1B280B89C43D3938A8CF1746FD163",1)</v>
      </c>
      <c r="P67" s="21"/>
    </row>
    <row r="68" s="103" customFormat="1" ht="30" customHeight="1" spans="1:16">
      <c r="A68" s="21">
        <v>27</v>
      </c>
      <c r="B68" s="26">
        <v>21012011</v>
      </c>
      <c r="C68" s="26" t="s">
        <v>147</v>
      </c>
      <c r="D68" s="104">
        <v>88.76</v>
      </c>
      <c r="E68" s="64" t="s">
        <v>148</v>
      </c>
      <c r="F68" s="26">
        <v>62</v>
      </c>
      <c r="G68" s="15">
        <v>85</v>
      </c>
      <c r="H68" s="26">
        <v>53</v>
      </c>
      <c r="I68" s="15">
        <v>50</v>
      </c>
      <c r="J68" s="104">
        <v>79.832</v>
      </c>
      <c r="K68" s="15">
        <v>65</v>
      </c>
      <c r="L68" s="21">
        <v>3.48</v>
      </c>
      <c r="M68" s="26">
        <v>538</v>
      </c>
      <c r="N68" s="26" t="s">
        <v>20</v>
      </c>
      <c r="O68" s="17" t="str">
        <f>_xlfn.DISPIMG("ID_AB5F1EF44D434A53AF212CD00EDFCA9B",1)</f>
        <v>=DISPIMG("ID_AB5F1EF44D434A53AF212CD00EDFCA9B",1)</v>
      </c>
      <c r="P68" s="26"/>
    </row>
    <row r="69" s="103" customFormat="1" ht="30" customHeight="1" spans="1:16">
      <c r="A69" s="21">
        <v>71</v>
      </c>
      <c r="B69" s="21">
        <v>21012025</v>
      </c>
      <c r="C69" s="21" t="s">
        <v>149</v>
      </c>
      <c r="D69" s="104">
        <v>88.52</v>
      </c>
      <c r="E69" s="64" t="s">
        <v>150</v>
      </c>
      <c r="F69" s="21">
        <v>64</v>
      </c>
      <c r="G69" s="15">
        <v>48</v>
      </c>
      <c r="H69" s="21">
        <v>50</v>
      </c>
      <c r="I69" s="15">
        <v>58</v>
      </c>
      <c r="J69" s="104">
        <v>79.764</v>
      </c>
      <c r="K69" s="15">
        <v>66</v>
      </c>
      <c r="L69" s="21">
        <v>3.43</v>
      </c>
      <c r="M69" s="21">
        <v>545</v>
      </c>
      <c r="N69" s="21" t="s">
        <v>27</v>
      </c>
      <c r="O69" s="17" t="str">
        <f>_xlfn.DISPIMG("ID_67DAF9CEFCEE48D18ADC85D4DDC29FAF",1)</f>
        <v>=DISPIMG("ID_67DAF9CEFCEE48D18ADC85D4DDC29FAF",1)</v>
      </c>
      <c r="P69" s="21"/>
    </row>
    <row r="70" s="103" customFormat="1" ht="30" customHeight="1" spans="1:16">
      <c r="A70" s="21">
        <v>34</v>
      </c>
      <c r="B70" s="26">
        <v>21013089</v>
      </c>
      <c r="C70" s="26" t="s">
        <v>151</v>
      </c>
      <c r="D70" s="104">
        <v>85.52</v>
      </c>
      <c r="E70" s="64" t="s">
        <v>152</v>
      </c>
      <c r="F70" s="26">
        <v>74</v>
      </c>
      <c r="G70" s="15">
        <v>13</v>
      </c>
      <c r="H70" s="26">
        <v>50</v>
      </c>
      <c r="I70" s="15">
        <v>58</v>
      </c>
      <c r="J70" s="104">
        <v>79.664</v>
      </c>
      <c r="K70" s="15">
        <v>67</v>
      </c>
      <c r="L70" s="21">
        <v>3.14</v>
      </c>
      <c r="M70" s="26">
        <v>436</v>
      </c>
      <c r="N70" s="26" t="s">
        <v>20</v>
      </c>
      <c r="O70" s="17" t="str">
        <f>_xlfn.DISPIMG("ID_FDBA2CA1BF05400796482783B541BCE4",1)</f>
        <v>=DISPIMG("ID_FDBA2CA1BF05400796482783B541BCE4",1)</v>
      </c>
      <c r="P70" s="26"/>
    </row>
    <row r="71" s="103" customFormat="1" ht="30" customHeight="1" spans="1:16">
      <c r="A71" s="21">
        <v>66</v>
      </c>
      <c r="B71" s="21">
        <v>21012153</v>
      </c>
      <c r="C71" s="21" t="s">
        <v>153</v>
      </c>
      <c r="D71" s="104">
        <v>88.83</v>
      </c>
      <c r="E71" s="64" t="s">
        <v>154</v>
      </c>
      <c r="F71" s="26">
        <v>62</v>
      </c>
      <c r="G71" s="15">
        <v>85</v>
      </c>
      <c r="H71" s="21">
        <v>50</v>
      </c>
      <c r="I71" s="15">
        <v>58</v>
      </c>
      <c r="J71" s="104">
        <v>79.581</v>
      </c>
      <c r="K71" s="15">
        <v>68</v>
      </c>
      <c r="L71" s="21">
        <v>3.26</v>
      </c>
      <c r="M71" s="21">
        <v>481</v>
      </c>
      <c r="N71" s="105" t="s">
        <v>20</v>
      </c>
      <c r="O71" s="21" t="str">
        <f>_xlfn.DISPIMG("ID_9258CFD5E60C41C6814F7EEF30083FD1",1)</f>
        <v>=DISPIMG("ID_9258CFD5E60C41C6814F7EEF30083FD1",1)</v>
      </c>
      <c r="P71" s="21"/>
    </row>
    <row r="72" s="103" customFormat="1" ht="30" customHeight="1" spans="1:16">
      <c r="A72" s="21">
        <v>44</v>
      </c>
      <c r="B72" s="21">
        <v>21012045</v>
      </c>
      <c r="C72" s="21" t="s">
        <v>155</v>
      </c>
      <c r="D72" s="104">
        <v>89.38</v>
      </c>
      <c r="E72" s="64" t="s">
        <v>144</v>
      </c>
      <c r="F72" s="26">
        <v>60</v>
      </c>
      <c r="G72" s="15">
        <v>124</v>
      </c>
      <c r="H72" s="21">
        <v>50</v>
      </c>
      <c r="I72" s="15">
        <v>58</v>
      </c>
      <c r="J72" s="104">
        <v>79.566</v>
      </c>
      <c r="K72" s="15">
        <v>69</v>
      </c>
      <c r="L72" s="21">
        <v>3.29</v>
      </c>
      <c r="M72" s="21">
        <v>446</v>
      </c>
      <c r="N72" s="105" t="s">
        <v>20</v>
      </c>
      <c r="O72" s="107" t="str">
        <f>_xlfn.DISPIMG("ID_B3CF7EE694D94C5795B2197525027461",1)</f>
        <v>=DISPIMG("ID_B3CF7EE694D94C5795B2197525027461",1)</v>
      </c>
      <c r="P72" s="21"/>
    </row>
    <row r="73" s="103" customFormat="1" ht="30" customHeight="1" spans="1:16">
      <c r="A73" s="21">
        <v>5</v>
      </c>
      <c r="B73" s="26">
        <v>21012012</v>
      </c>
      <c r="C73" s="26" t="s">
        <v>156</v>
      </c>
      <c r="D73" s="104">
        <v>89.14</v>
      </c>
      <c r="E73" s="64" t="s">
        <v>157</v>
      </c>
      <c r="F73" s="26">
        <v>60.5</v>
      </c>
      <c r="G73" s="15">
        <v>115</v>
      </c>
      <c r="H73" s="26">
        <v>50</v>
      </c>
      <c r="I73" s="15">
        <v>58</v>
      </c>
      <c r="J73" s="104">
        <v>79.498</v>
      </c>
      <c r="K73" s="15">
        <v>70</v>
      </c>
      <c r="L73" s="21">
        <v>3.16</v>
      </c>
      <c r="M73" s="26">
        <v>449</v>
      </c>
      <c r="N73" s="26" t="s">
        <v>20</v>
      </c>
      <c r="O73" s="106" t="str">
        <f>_xlfn.DISPIMG("ID_0C839F862A664C029963589E7E4794FF",1)</f>
        <v>=DISPIMG("ID_0C839F862A664C029963589E7E4794FF",1)</v>
      </c>
      <c r="P73" s="21"/>
    </row>
    <row r="74" s="103" customFormat="1" ht="30" customHeight="1" spans="1:16">
      <c r="A74" s="21">
        <v>13</v>
      </c>
      <c r="B74" s="26">
        <v>21012154</v>
      </c>
      <c r="C74" s="26" t="s">
        <v>158</v>
      </c>
      <c r="D74" s="104">
        <v>89.14</v>
      </c>
      <c r="E74" s="64" t="s">
        <v>157</v>
      </c>
      <c r="F74" s="26">
        <v>60.5</v>
      </c>
      <c r="G74" s="15">
        <v>115</v>
      </c>
      <c r="H74" s="26">
        <v>50</v>
      </c>
      <c r="I74" s="15">
        <v>58</v>
      </c>
      <c r="J74" s="104">
        <v>79.498</v>
      </c>
      <c r="K74" s="15">
        <v>70</v>
      </c>
      <c r="L74" s="21">
        <v>3.47</v>
      </c>
      <c r="M74" s="26">
        <v>485</v>
      </c>
      <c r="N74" s="26" t="s">
        <v>20</v>
      </c>
      <c r="O74" s="17" t="str">
        <f>_xlfn.DISPIMG("ID_1605796E3E1A48B38CC389A4767902B1",1)</f>
        <v>=DISPIMG("ID_1605796E3E1A48B38CC389A4767902B1",1)</v>
      </c>
      <c r="P74" s="26"/>
    </row>
    <row r="75" s="103" customFormat="1" ht="30" customHeight="1" spans="1:16">
      <c r="A75" s="21">
        <v>124</v>
      </c>
      <c r="B75" s="26">
        <v>21012150</v>
      </c>
      <c r="C75" s="26" t="s">
        <v>159</v>
      </c>
      <c r="D75" s="104">
        <v>88.28</v>
      </c>
      <c r="E75" s="64" t="s">
        <v>160</v>
      </c>
      <c r="F75" s="26">
        <v>63.5</v>
      </c>
      <c r="G75" s="15">
        <v>74</v>
      </c>
      <c r="H75" s="26">
        <v>50</v>
      </c>
      <c r="I75" s="15">
        <v>58</v>
      </c>
      <c r="J75" s="104">
        <v>79.496</v>
      </c>
      <c r="K75" s="15">
        <v>70</v>
      </c>
      <c r="L75" s="21">
        <v>3.34</v>
      </c>
      <c r="M75" s="26">
        <v>507</v>
      </c>
      <c r="N75" s="105" t="s">
        <v>27</v>
      </c>
      <c r="O75" s="108" t="str">
        <f>_xlfn.DISPIMG("ID_0B32136935114C05A43636435171931E",1)</f>
        <v>=DISPIMG("ID_0B32136935114C05A43636435171931E",1)</v>
      </c>
      <c r="P75" s="21"/>
    </row>
    <row r="76" s="103" customFormat="1" ht="30" customHeight="1" spans="1:16">
      <c r="A76" s="21">
        <v>136</v>
      </c>
      <c r="B76" s="26">
        <v>21012059</v>
      </c>
      <c r="C76" s="26" t="s">
        <v>161</v>
      </c>
      <c r="D76" s="104">
        <v>86.9</v>
      </c>
      <c r="E76" s="64" t="s">
        <v>162</v>
      </c>
      <c r="F76" s="26">
        <v>64</v>
      </c>
      <c r="G76" s="15">
        <v>48</v>
      </c>
      <c r="H76" s="26">
        <v>57</v>
      </c>
      <c r="I76" s="15">
        <v>35</v>
      </c>
      <c r="J76" s="104">
        <v>79.33</v>
      </c>
      <c r="K76" s="15">
        <v>73</v>
      </c>
      <c r="L76" s="21">
        <v>3.19</v>
      </c>
      <c r="M76" s="26">
        <v>514</v>
      </c>
      <c r="N76" s="26" t="s">
        <v>20</v>
      </c>
      <c r="O76" s="17" t="str">
        <f>_xlfn.DISPIMG("ID_9E1CFBB528B546C9846D8AD12FBDCB51",1)</f>
        <v>=DISPIMG("ID_9E1CFBB528B546C9846D8AD12FBDCB51",1)</v>
      </c>
      <c r="P76" s="21"/>
    </row>
    <row r="77" s="103" customFormat="1" ht="30" customHeight="1" spans="1:16">
      <c r="A77" s="21">
        <v>80</v>
      </c>
      <c r="B77" s="21">
        <v>21012075</v>
      </c>
      <c r="C77" s="21" t="s">
        <v>163</v>
      </c>
      <c r="D77" s="104">
        <v>88.86</v>
      </c>
      <c r="E77" s="64" t="s">
        <v>164</v>
      </c>
      <c r="F77" s="21">
        <v>60.5</v>
      </c>
      <c r="G77" s="15">
        <v>115</v>
      </c>
      <c r="H77" s="21">
        <v>50</v>
      </c>
      <c r="I77" s="15">
        <v>58</v>
      </c>
      <c r="J77" s="104">
        <v>79.302</v>
      </c>
      <c r="K77" s="15">
        <v>74</v>
      </c>
      <c r="L77" s="21">
        <v>3.43</v>
      </c>
      <c r="M77" s="21">
        <v>501</v>
      </c>
      <c r="N77" s="21" t="s">
        <v>27</v>
      </c>
      <c r="O77" s="106" t="str">
        <f>_xlfn.DISPIMG("ID_E55ED0FBFF8C4C36AD5E8040B517A55F",1)</f>
        <v>=DISPIMG("ID_E55ED0FBFF8C4C36AD5E8040B517A55F",1)</v>
      </c>
      <c r="P77" s="21"/>
    </row>
    <row r="78" s="103" customFormat="1" ht="30" customHeight="1" spans="1:16">
      <c r="A78" s="21">
        <v>31</v>
      </c>
      <c r="B78" s="26">
        <v>21012159</v>
      </c>
      <c r="C78" s="26" t="s">
        <v>165</v>
      </c>
      <c r="D78" s="104">
        <v>87.55</v>
      </c>
      <c r="E78" s="64" t="s">
        <v>166</v>
      </c>
      <c r="F78" s="26">
        <v>62</v>
      </c>
      <c r="G78" s="15">
        <v>85</v>
      </c>
      <c r="H78" s="26">
        <v>56</v>
      </c>
      <c r="I78" s="15">
        <v>38</v>
      </c>
      <c r="J78" s="104">
        <v>79.285</v>
      </c>
      <c r="K78" s="15">
        <v>75</v>
      </c>
      <c r="L78" s="21">
        <v>3.4</v>
      </c>
      <c r="M78" s="26">
        <v>466</v>
      </c>
      <c r="N78" s="26" t="s">
        <v>20</v>
      </c>
      <c r="O78" s="17" t="str">
        <f>_xlfn.DISPIMG("ID_5DC7A3FC9B64436E96D912B12BD95C99",1)</f>
        <v>=DISPIMG("ID_5DC7A3FC9B64436E96D912B12BD95C99",1)</v>
      </c>
      <c r="P78" s="26"/>
    </row>
    <row r="79" s="103" customFormat="1" ht="30" customHeight="1" spans="1:16">
      <c r="A79" s="21">
        <v>19</v>
      </c>
      <c r="B79" s="26">
        <v>21012078</v>
      </c>
      <c r="C79" s="26" t="s">
        <v>167</v>
      </c>
      <c r="D79" s="104">
        <v>88.34</v>
      </c>
      <c r="E79" s="64" t="s">
        <v>168</v>
      </c>
      <c r="F79" s="26">
        <v>62</v>
      </c>
      <c r="G79" s="15">
        <v>85</v>
      </c>
      <c r="H79" s="26">
        <v>50</v>
      </c>
      <c r="I79" s="15">
        <v>58</v>
      </c>
      <c r="J79" s="104">
        <v>79.238</v>
      </c>
      <c r="K79" s="15">
        <v>76</v>
      </c>
      <c r="L79" s="21">
        <v>3.48</v>
      </c>
      <c r="M79" s="26">
        <v>442</v>
      </c>
      <c r="N79" s="26" t="s">
        <v>20</v>
      </c>
      <c r="O79" s="17" t="str">
        <f>_xlfn.DISPIMG("ID_2C4D2DA37134483AA3780C4F791F8EB2",1)</f>
        <v>=DISPIMG("ID_2C4D2DA37134483AA3780C4F791F8EB2",1)</v>
      </c>
      <c r="P79" s="26"/>
    </row>
    <row r="80" s="103" customFormat="1" ht="30" customHeight="1" spans="1:16">
      <c r="A80" s="21">
        <v>139</v>
      </c>
      <c r="B80" s="26">
        <v>21012073</v>
      </c>
      <c r="C80" s="26" t="s">
        <v>169</v>
      </c>
      <c r="D80" s="104">
        <v>85.76</v>
      </c>
      <c r="E80" s="64" t="s">
        <v>170</v>
      </c>
      <c r="F80" s="26">
        <v>66</v>
      </c>
      <c r="G80" s="15">
        <v>36</v>
      </c>
      <c r="H80" s="26">
        <v>59</v>
      </c>
      <c r="I80" s="15">
        <v>27</v>
      </c>
      <c r="J80" s="104">
        <v>79.132</v>
      </c>
      <c r="K80" s="15">
        <v>77</v>
      </c>
      <c r="L80" s="21">
        <v>3.09</v>
      </c>
      <c r="M80" s="26">
        <v>519</v>
      </c>
      <c r="N80" s="26" t="s">
        <v>20</v>
      </c>
      <c r="O80" s="17" t="str">
        <f>_xlfn.DISPIMG("ID_299219D91A8A4FC994500B5D2F1DF674",1)</f>
        <v>=DISPIMG("ID_299219D91A8A4FC994500B5D2F1DF674",1)</v>
      </c>
      <c r="P80" s="21"/>
    </row>
    <row r="81" s="103" customFormat="1" ht="30" customHeight="1" spans="1:16">
      <c r="A81" s="21">
        <v>43</v>
      </c>
      <c r="B81" s="21">
        <v>21012042</v>
      </c>
      <c r="C81" s="21" t="s">
        <v>171</v>
      </c>
      <c r="D81" s="104">
        <v>87.55</v>
      </c>
      <c r="E81" s="64" t="s">
        <v>166</v>
      </c>
      <c r="F81" s="26">
        <v>64</v>
      </c>
      <c r="G81" s="15">
        <v>48</v>
      </c>
      <c r="H81" s="26">
        <v>50</v>
      </c>
      <c r="I81" s="15">
        <v>58</v>
      </c>
      <c r="J81" s="104">
        <v>79.085</v>
      </c>
      <c r="K81" s="15">
        <v>78</v>
      </c>
      <c r="L81" s="21">
        <v>3.26</v>
      </c>
      <c r="M81" s="21">
        <v>444</v>
      </c>
      <c r="N81" s="105" t="s">
        <v>20</v>
      </c>
      <c r="O81" s="107" t="str">
        <f>_xlfn.DISPIMG("ID_1580BC6383D94C0081879D8D4CABC2F0",1)</f>
        <v>=DISPIMG("ID_1580BC6383D94C0081879D8D4CABC2F0",1)</v>
      </c>
      <c r="P81" s="21"/>
    </row>
    <row r="82" s="103" customFormat="1" ht="30" customHeight="1" spans="1:16">
      <c r="A82" s="21">
        <v>76</v>
      </c>
      <c r="B82" s="21">
        <v>21012046</v>
      </c>
      <c r="C82" s="21" t="s">
        <v>172</v>
      </c>
      <c r="D82" s="104">
        <v>87.34</v>
      </c>
      <c r="E82" s="64" t="s">
        <v>173</v>
      </c>
      <c r="F82" s="21">
        <v>60</v>
      </c>
      <c r="G82" s="15">
        <v>124</v>
      </c>
      <c r="H82" s="21">
        <v>58</v>
      </c>
      <c r="I82" s="15">
        <v>32</v>
      </c>
      <c r="J82" s="104">
        <v>78.938</v>
      </c>
      <c r="K82" s="15">
        <v>79</v>
      </c>
      <c r="L82" s="21">
        <v>3.29</v>
      </c>
      <c r="M82" s="21">
        <v>487</v>
      </c>
      <c r="N82" s="21" t="s">
        <v>27</v>
      </c>
      <c r="O82" s="17" t="str">
        <f>_xlfn.DISPIMG("ID_F73AAE817ADF4F6B8DCE25BF811B6C93",1)</f>
        <v>=DISPIMG("ID_F73AAE817ADF4F6B8DCE25BF811B6C93",1)</v>
      </c>
      <c r="P82" s="21"/>
    </row>
    <row r="83" s="103" customFormat="1" ht="30" customHeight="1" spans="1:16">
      <c r="A83" s="21">
        <v>7</v>
      </c>
      <c r="B83" s="26">
        <v>21012079</v>
      </c>
      <c r="C83" s="26" t="s">
        <v>174</v>
      </c>
      <c r="D83" s="104">
        <v>87.26</v>
      </c>
      <c r="E83" s="64" t="s">
        <v>175</v>
      </c>
      <c r="F83" s="26">
        <v>64</v>
      </c>
      <c r="G83" s="15">
        <v>48</v>
      </c>
      <c r="H83" s="26">
        <v>50</v>
      </c>
      <c r="I83" s="15">
        <v>58</v>
      </c>
      <c r="J83" s="104">
        <v>78.882</v>
      </c>
      <c r="K83" s="15">
        <v>80</v>
      </c>
      <c r="L83" s="21">
        <v>3.21</v>
      </c>
      <c r="M83" s="26">
        <v>449</v>
      </c>
      <c r="N83" s="26" t="s">
        <v>20</v>
      </c>
      <c r="O83" s="17" t="str">
        <f>_xlfn.DISPIMG("ID_87D21CDCA16E44118DE941A6434849DD",1)</f>
        <v>=DISPIMG("ID_87D21CDCA16E44118DE941A6434849DD",1)</v>
      </c>
      <c r="P83" s="26"/>
    </row>
    <row r="84" s="103" customFormat="1" ht="30" customHeight="1" spans="1:16">
      <c r="A84" s="21">
        <v>149</v>
      </c>
      <c r="B84" s="26">
        <v>21012068</v>
      </c>
      <c r="C84" s="26" t="s">
        <v>176</v>
      </c>
      <c r="D84" s="104">
        <v>85.62</v>
      </c>
      <c r="E84" s="64" t="s">
        <v>177</v>
      </c>
      <c r="F84" s="26">
        <v>69</v>
      </c>
      <c r="G84" s="15">
        <v>24</v>
      </c>
      <c r="H84" s="26">
        <v>50</v>
      </c>
      <c r="I84" s="15">
        <v>58</v>
      </c>
      <c r="J84" s="104">
        <v>78.734</v>
      </c>
      <c r="K84" s="15">
        <v>81</v>
      </c>
      <c r="L84" s="21">
        <v>3.14</v>
      </c>
      <c r="M84" s="26">
        <v>430</v>
      </c>
      <c r="N84" s="26" t="s">
        <v>20</v>
      </c>
      <c r="O84" s="17" t="str">
        <f>_xlfn.DISPIMG("ID_F74ADF78E659410FB00BEF122F9527E5",1)</f>
        <v>=DISPIMG("ID_F74ADF78E659410FB00BEF122F9527E5",1)</v>
      </c>
      <c r="P84" s="21"/>
    </row>
    <row r="85" s="103" customFormat="1" ht="30" customHeight="1" spans="1:16">
      <c r="A85" s="21">
        <v>20</v>
      </c>
      <c r="B85" s="26">
        <v>21012113</v>
      </c>
      <c r="C85" s="26" t="s">
        <v>178</v>
      </c>
      <c r="D85" s="104">
        <v>87.55</v>
      </c>
      <c r="E85" s="64" t="s">
        <v>166</v>
      </c>
      <c r="F85" s="26">
        <v>62</v>
      </c>
      <c r="G85" s="15">
        <v>85</v>
      </c>
      <c r="H85" s="26">
        <v>50</v>
      </c>
      <c r="I85" s="15">
        <v>58</v>
      </c>
      <c r="J85" s="104">
        <v>78.685</v>
      </c>
      <c r="K85" s="15">
        <v>82</v>
      </c>
      <c r="L85" s="21">
        <v>3.26</v>
      </c>
      <c r="M85" s="26">
        <v>428</v>
      </c>
      <c r="N85" s="26" t="s">
        <v>20</v>
      </c>
      <c r="O85" s="106" t="str">
        <f>_xlfn.DISPIMG("ID_D84BBA745712481AA8F0E26A934F5C81",1)</f>
        <v>=DISPIMG("ID_D84BBA745712481AA8F0E26A934F5C81",1)</v>
      </c>
      <c r="P85" s="26"/>
    </row>
    <row r="86" s="103" customFormat="1" ht="30" customHeight="1" spans="1:16">
      <c r="A86" s="21">
        <v>93</v>
      </c>
      <c r="B86" s="21">
        <v>21012152</v>
      </c>
      <c r="C86" s="21" t="s">
        <v>179</v>
      </c>
      <c r="D86" s="104">
        <v>87.24</v>
      </c>
      <c r="E86" s="64" t="s">
        <v>180</v>
      </c>
      <c r="F86" s="21">
        <v>62.5</v>
      </c>
      <c r="G86" s="15">
        <v>79</v>
      </c>
      <c r="H86" s="21">
        <v>51</v>
      </c>
      <c r="I86" s="15">
        <v>52</v>
      </c>
      <c r="J86" s="104">
        <v>78.668</v>
      </c>
      <c r="K86" s="15">
        <v>83</v>
      </c>
      <c r="L86" s="21">
        <v>3.26</v>
      </c>
      <c r="M86" s="21">
        <v>480</v>
      </c>
      <c r="N86" s="21" t="s">
        <v>27</v>
      </c>
      <c r="O86" s="17" t="str">
        <f>_xlfn.DISPIMG("ID_9BCDD1B0C04A49BF9DE8056658015A4B",1)</f>
        <v>=DISPIMG("ID_9BCDD1B0C04A49BF9DE8056658015A4B",1)</v>
      </c>
      <c r="P86" s="21"/>
    </row>
    <row r="87" s="103" customFormat="1" ht="30" customHeight="1" spans="1:16">
      <c r="A87" s="21">
        <v>75</v>
      </c>
      <c r="B87" s="21">
        <v>21012041</v>
      </c>
      <c r="C87" s="21" t="s">
        <v>181</v>
      </c>
      <c r="D87" s="104">
        <v>87.92</v>
      </c>
      <c r="E87" s="64" t="s">
        <v>182</v>
      </c>
      <c r="F87" s="21">
        <v>60.5</v>
      </c>
      <c r="G87" s="15">
        <v>115</v>
      </c>
      <c r="H87" s="21">
        <v>50</v>
      </c>
      <c r="I87" s="15">
        <v>58</v>
      </c>
      <c r="J87" s="104">
        <v>78.644</v>
      </c>
      <c r="K87" s="15">
        <v>84</v>
      </c>
      <c r="L87" s="21">
        <v>3.21</v>
      </c>
      <c r="M87" s="21">
        <v>449</v>
      </c>
      <c r="N87" s="21" t="s">
        <v>27</v>
      </c>
      <c r="O87" s="106" t="str">
        <f>_xlfn.DISPIMG("ID_E0FCED2F2DEB41C6B605E08E2C89045C",1)</f>
        <v>=DISPIMG("ID_E0FCED2F2DEB41C6B605E08E2C89045C",1)</v>
      </c>
      <c r="P87" s="21"/>
    </row>
    <row r="88" s="103" customFormat="1" ht="30" customHeight="1" spans="1:16">
      <c r="A88" s="21">
        <v>63</v>
      </c>
      <c r="B88" s="21">
        <v>21012141</v>
      </c>
      <c r="C88" s="21" t="s">
        <v>183</v>
      </c>
      <c r="D88" s="104">
        <v>86.9</v>
      </c>
      <c r="E88" s="64" t="s">
        <v>162</v>
      </c>
      <c r="F88" s="26">
        <v>64</v>
      </c>
      <c r="G88" s="15">
        <v>48</v>
      </c>
      <c r="H88" s="21">
        <v>50</v>
      </c>
      <c r="I88" s="15">
        <v>58</v>
      </c>
      <c r="J88" s="104">
        <v>78.63</v>
      </c>
      <c r="K88" s="15">
        <v>85</v>
      </c>
      <c r="L88" s="21">
        <v>3.12</v>
      </c>
      <c r="M88" s="21">
        <v>415</v>
      </c>
      <c r="N88" s="105" t="s">
        <v>20</v>
      </c>
      <c r="O88" s="107" t="str">
        <f>_xlfn.DISPIMG("ID_6EECEF4EC27A47CCA48B0D0C079E5CB2",1)</f>
        <v>=DISPIMG("ID_6EECEF4EC27A47CCA48B0D0C079E5CB2",1)</v>
      </c>
      <c r="P88" s="21"/>
    </row>
    <row r="89" s="103" customFormat="1" ht="30" customHeight="1" spans="1:16">
      <c r="A89" s="21">
        <v>95</v>
      </c>
      <c r="B89" s="21">
        <v>21012157</v>
      </c>
      <c r="C89" s="21" t="s">
        <v>184</v>
      </c>
      <c r="D89" s="104">
        <v>87.31</v>
      </c>
      <c r="E89" s="64" t="s">
        <v>185</v>
      </c>
      <c r="F89" s="21">
        <v>62.5</v>
      </c>
      <c r="G89" s="15">
        <v>79</v>
      </c>
      <c r="H89" s="21">
        <v>50</v>
      </c>
      <c r="I89" s="15">
        <v>58</v>
      </c>
      <c r="J89" s="104">
        <v>78.617</v>
      </c>
      <c r="K89" s="15">
        <v>86</v>
      </c>
      <c r="L89" s="21">
        <v>3.29</v>
      </c>
      <c r="M89" s="21">
        <v>460</v>
      </c>
      <c r="N89" s="26" t="s">
        <v>27</v>
      </c>
      <c r="O89" s="17" t="str">
        <f>_xlfn.DISPIMG("ID_397A931FA5EB4BF990AA2E30B01BF5A1",1)</f>
        <v>=DISPIMG("ID_397A931FA5EB4BF990AA2E30B01BF5A1",1)</v>
      </c>
      <c r="P89" s="21"/>
    </row>
    <row r="90" s="103" customFormat="1" ht="30" customHeight="1" spans="1:16">
      <c r="A90" s="21">
        <v>140</v>
      </c>
      <c r="B90" s="26">
        <v>21012083</v>
      </c>
      <c r="C90" s="26" t="s">
        <v>186</v>
      </c>
      <c r="D90" s="104">
        <v>86.31</v>
      </c>
      <c r="E90" s="64" t="s">
        <v>187</v>
      </c>
      <c r="F90" s="26">
        <v>66</v>
      </c>
      <c r="G90" s="15">
        <v>36</v>
      </c>
      <c r="H90" s="26">
        <v>50</v>
      </c>
      <c r="I90" s="15">
        <v>58</v>
      </c>
      <c r="J90" s="104">
        <v>78.617</v>
      </c>
      <c r="K90" s="15">
        <v>86</v>
      </c>
      <c r="L90" s="21">
        <v>3.16</v>
      </c>
      <c r="M90" s="26">
        <v>369</v>
      </c>
      <c r="N90" s="26" t="s">
        <v>20</v>
      </c>
      <c r="O90" s="106" t="str">
        <f>_xlfn.DISPIMG("ID_C0056C45CAB2420FBB5F0958A4E0922A",1)</f>
        <v>=DISPIMG("ID_C0056C45CAB2420FBB5F0958A4E0922A",1)</v>
      </c>
      <c r="P90" s="21"/>
    </row>
    <row r="91" s="103" customFormat="1" ht="30" customHeight="1" spans="1:16">
      <c r="A91" s="21">
        <v>22</v>
      </c>
      <c r="B91" s="26">
        <v>21012142</v>
      </c>
      <c r="C91" s="26" t="s">
        <v>188</v>
      </c>
      <c r="D91" s="104">
        <v>86.97</v>
      </c>
      <c r="E91" s="64" t="s">
        <v>189</v>
      </c>
      <c r="F91" s="26">
        <v>62</v>
      </c>
      <c r="G91" s="15">
        <v>85</v>
      </c>
      <c r="H91" s="26">
        <v>53</v>
      </c>
      <c r="I91" s="15">
        <v>50</v>
      </c>
      <c r="J91" s="104">
        <v>78.579</v>
      </c>
      <c r="K91" s="15">
        <v>88</v>
      </c>
      <c r="L91" s="21">
        <v>3.19</v>
      </c>
      <c r="M91" s="26">
        <v>411</v>
      </c>
      <c r="N91" s="26" t="s">
        <v>20</v>
      </c>
      <c r="O91" s="17" t="str">
        <f>_xlfn.DISPIMG("ID_42144FEB54594847A617F6CEF997C8DD",1)</f>
        <v>=DISPIMG("ID_42144FEB54594847A617F6CEF997C8DD",1)</v>
      </c>
      <c r="P91" s="26"/>
    </row>
    <row r="92" s="103" customFormat="1" ht="30" customHeight="1" spans="1:16">
      <c r="A92" s="21">
        <v>152</v>
      </c>
      <c r="B92" s="26">
        <v>21012133</v>
      </c>
      <c r="C92" s="26" t="s">
        <v>190</v>
      </c>
      <c r="D92" s="104">
        <v>86.21</v>
      </c>
      <c r="E92" s="64" t="s">
        <v>191</v>
      </c>
      <c r="F92" s="26">
        <v>66</v>
      </c>
      <c r="G92" s="15">
        <v>36</v>
      </c>
      <c r="H92" s="26">
        <v>50</v>
      </c>
      <c r="I92" s="15">
        <v>58</v>
      </c>
      <c r="J92" s="104">
        <v>78.547</v>
      </c>
      <c r="K92" s="15">
        <v>89</v>
      </c>
      <c r="L92" s="21">
        <v>3.12</v>
      </c>
      <c r="M92" s="26">
        <v>437</v>
      </c>
      <c r="N92" s="26" t="s">
        <v>20</v>
      </c>
      <c r="O92" s="106" t="str">
        <f>_xlfn.DISPIMG("ID_279C57439A584415B077F4C890DF6E28",1)</f>
        <v>=DISPIMG("ID_279C57439A584415B077F4C890DF6E28",1)</v>
      </c>
      <c r="P92" s="21"/>
    </row>
    <row r="93" s="103" customFormat="1" ht="30" customHeight="1" spans="1:16">
      <c r="A93" s="21">
        <v>2</v>
      </c>
      <c r="B93" s="26">
        <v>21009001</v>
      </c>
      <c r="C93" s="26" t="s">
        <v>192</v>
      </c>
      <c r="D93" s="104">
        <v>87.87</v>
      </c>
      <c r="E93" s="64" t="s">
        <v>193</v>
      </c>
      <c r="F93" s="26">
        <v>60</v>
      </c>
      <c r="G93" s="15">
        <v>124</v>
      </c>
      <c r="H93" s="26">
        <v>50</v>
      </c>
      <c r="I93" s="15">
        <v>58</v>
      </c>
      <c r="J93" s="104">
        <v>78.509</v>
      </c>
      <c r="K93" s="15">
        <v>90</v>
      </c>
      <c r="L93" s="21">
        <v>3.31</v>
      </c>
      <c r="M93" s="26">
        <v>456</v>
      </c>
      <c r="N93" s="26" t="s">
        <v>20</v>
      </c>
      <c r="O93" s="16" t="str">
        <f>_xlfn.DISPIMG("ID_A0ED9F92782A4B2083F7E7270BBF994B",1)</f>
        <v>=DISPIMG("ID_A0ED9F92782A4B2083F7E7270BBF994B",1)</v>
      </c>
      <c r="P93" s="26"/>
    </row>
    <row r="94" s="103" customFormat="1" ht="30" customHeight="1" spans="1:16">
      <c r="A94" s="21">
        <v>150</v>
      </c>
      <c r="B94" s="26">
        <v>21012070</v>
      </c>
      <c r="C94" s="26" t="s">
        <v>194</v>
      </c>
      <c r="D94" s="104">
        <v>86.59</v>
      </c>
      <c r="E94" s="64" t="s">
        <v>195</v>
      </c>
      <c r="F94" s="26">
        <v>64</v>
      </c>
      <c r="G94" s="15">
        <v>48</v>
      </c>
      <c r="H94" s="26">
        <v>50</v>
      </c>
      <c r="I94" s="15">
        <v>58</v>
      </c>
      <c r="J94" s="104">
        <v>78.413</v>
      </c>
      <c r="K94" s="15">
        <v>91</v>
      </c>
      <c r="L94" s="21">
        <v>3.16</v>
      </c>
      <c r="M94" s="26">
        <v>431</v>
      </c>
      <c r="N94" s="26" t="s">
        <v>20</v>
      </c>
      <c r="O94" s="17" t="str">
        <f>_xlfn.DISPIMG("ID_B74A07A0103141FC864C8B7038870043",1)</f>
        <v>=DISPIMG("ID_B74A07A0103141FC864C8B7038870043",1)</v>
      </c>
      <c r="P94" s="21"/>
    </row>
    <row r="95" s="103" customFormat="1" ht="30" customHeight="1" spans="1:16">
      <c r="A95" s="21">
        <v>4</v>
      </c>
      <c r="B95" s="26">
        <v>20015058</v>
      </c>
      <c r="C95" s="26" t="s">
        <v>196</v>
      </c>
      <c r="D95" s="104">
        <v>87.71</v>
      </c>
      <c r="E95" s="64" t="s">
        <v>197</v>
      </c>
      <c r="F95" s="26">
        <v>60</v>
      </c>
      <c r="G95" s="15">
        <v>124</v>
      </c>
      <c r="H95" s="26">
        <v>50</v>
      </c>
      <c r="I95" s="15">
        <v>58</v>
      </c>
      <c r="J95" s="104">
        <v>78.397</v>
      </c>
      <c r="K95" s="15">
        <v>92</v>
      </c>
      <c r="L95" s="21">
        <v>3.32</v>
      </c>
      <c r="M95" s="26">
        <v>443</v>
      </c>
      <c r="N95" s="26" t="s">
        <v>20</v>
      </c>
      <c r="O95" s="17" t="str">
        <f>_xlfn.DISPIMG("ID_9E29C34F5F0C4983BEA18F93222BD755",1)</f>
        <v>=DISPIMG("ID_9E29C34F5F0C4983BEA18F93222BD755",1)</v>
      </c>
      <c r="P95" s="26"/>
    </row>
    <row r="96" s="103" customFormat="1" ht="30" customHeight="1" spans="1:16">
      <c r="A96" s="21">
        <v>16</v>
      </c>
      <c r="B96" s="26">
        <v>21012054</v>
      </c>
      <c r="C96" s="26" t="s">
        <v>198</v>
      </c>
      <c r="D96" s="104">
        <v>87.69</v>
      </c>
      <c r="E96" s="64" t="s">
        <v>134</v>
      </c>
      <c r="F96" s="26">
        <v>60</v>
      </c>
      <c r="G96" s="15">
        <v>124</v>
      </c>
      <c r="H96" s="26">
        <v>50</v>
      </c>
      <c r="I96" s="15">
        <v>58</v>
      </c>
      <c r="J96" s="104">
        <v>78.383</v>
      </c>
      <c r="K96" s="15">
        <v>93</v>
      </c>
      <c r="L96" s="21">
        <v>3.33</v>
      </c>
      <c r="M96" s="26">
        <v>492</v>
      </c>
      <c r="N96" s="26" t="s">
        <v>20</v>
      </c>
      <c r="O96" s="109" t="str">
        <f>_xlfn.DISPIMG("ID_CB9124AFDCD8499AA7C8DA3C0B4E92EC",1)</f>
        <v>=DISPIMG("ID_CB9124AFDCD8499AA7C8DA3C0B4E92EC",1)</v>
      </c>
      <c r="P96" s="26"/>
    </row>
    <row r="97" s="103" customFormat="1" ht="30" customHeight="1" spans="1:16">
      <c r="A97" s="21">
        <v>45</v>
      </c>
      <c r="B97" s="21">
        <v>21012052</v>
      </c>
      <c r="C97" s="21" t="s">
        <v>199</v>
      </c>
      <c r="D97" s="104">
        <v>87.66</v>
      </c>
      <c r="E97" s="64" t="s">
        <v>200</v>
      </c>
      <c r="F97" s="26">
        <v>60</v>
      </c>
      <c r="G97" s="15">
        <v>124</v>
      </c>
      <c r="H97" s="21">
        <v>50</v>
      </c>
      <c r="I97" s="15">
        <v>58</v>
      </c>
      <c r="J97" s="104">
        <v>78.362</v>
      </c>
      <c r="K97" s="15">
        <v>94</v>
      </c>
      <c r="L97" s="21">
        <v>3.4</v>
      </c>
      <c r="M97" s="21">
        <v>518</v>
      </c>
      <c r="N97" s="105" t="s">
        <v>20</v>
      </c>
      <c r="O97" s="21" t="str">
        <f>_xlfn.DISPIMG("ID_9D35F126368540EF8B2DB3015D568D37",1)</f>
        <v>=DISPIMG("ID_9D35F126368540EF8B2DB3015D568D37",1)</v>
      </c>
      <c r="P97" s="21"/>
    </row>
    <row r="98" s="103" customFormat="1" ht="30" customHeight="1" spans="1:16">
      <c r="A98" s="21">
        <v>46</v>
      </c>
      <c r="B98" s="21">
        <v>21012056</v>
      </c>
      <c r="C98" s="21" t="s">
        <v>201</v>
      </c>
      <c r="D98" s="104">
        <v>87.28</v>
      </c>
      <c r="E98" s="64" t="s">
        <v>202</v>
      </c>
      <c r="F98" s="26">
        <v>60.5</v>
      </c>
      <c r="G98" s="15">
        <v>115</v>
      </c>
      <c r="H98" s="21">
        <v>50</v>
      </c>
      <c r="I98" s="15">
        <v>58</v>
      </c>
      <c r="J98" s="104">
        <v>78.196</v>
      </c>
      <c r="K98" s="15">
        <v>95</v>
      </c>
      <c r="L98" s="21">
        <v>3.22</v>
      </c>
      <c r="M98" s="21">
        <v>459</v>
      </c>
      <c r="N98" s="105" t="s">
        <v>20</v>
      </c>
      <c r="O98" s="21" t="str">
        <f>_xlfn.DISPIMG("ID_C860772B2C5A4F9291A3896ABFB35EDF",1)</f>
        <v>=DISPIMG("ID_C860772B2C5A4F9291A3896ABFB35EDF",1)</v>
      </c>
      <c r="P98" s="21"/>
    </row>
    <row r="99" s="103" customFormat="1" ht="30" customHeight="1" spans="1:16">
      <c r="A99" s="21">
        <v>135</v>
      </c>
      <c r="B99" s="26">
        <v>21012049</v>
      </c>
      <c r="C99" s="26" t="s">
        <v>203</v>
      </c>
      <c r="D99" s="104">
        <v>85.41</v>
      </c>
      <c r="E99" s="64" t="s">
        <v>204</v>
      </c>
      <c r="F99" s="26">
        <v>64</v>
      </c>
      <c r="G99" s="15">
        <v>48</v>
      </c>
      <c r="H99" s="26">
        <v>56</v>
      </c>
      <c r="I99" s="15">
        <v>38</v>
      </c>
      <c r="J99" s="104">
        <v>78.187</v>
      </c>
      <c r="K99" s="15">
        <v>96</v>
      </c>
      <c r="L99" s="21">
        <v>3.09</v>
      </c>
      <c r="M99" s="26">
        <v>456</v>
      </c>
      <c r="N99" s="26" t="s">
        <v>20</v>
      </c>
      <c r="O99" s="17" t="str">
        <f>_xlfn.DISPIMG("ID_68BACA8D9B8E4B9D9C4ACC780415ABB8",1)</f>
        <v>=DISPIMG("ID_68BACA8D9B8E4B9D9C4ACC780415ABB8",1)</v>
      </c>
      <c r="P99" s="21"/>
    </row>
    <row r="100" s="103" customFormat="1" ht="30" customHeight="1" spans="1:16">
      <c r="A100" s="21">
        <v>85</v>
      </c>
      <c r="B100" s="21">
        <v>21012099</v>
      </c>
      <c r="C100" s="21" t="s">
        <v>205</v>
      </c>
      <c r="D100" s="104">
        <v>86.52</v>
      </c>
      <c r="E100" s="64" t="s">
        <v>206</v>
      </c>
      <c r="F100" s="21">
        <v>62.5</v>
      </c>
      <c r="G100" s="15">
        <v>79</v>
      </c>
      <c r="H100" s="21">
        <v>51</v>
      </c>
      <c r="I100" s="15">
        <v>52</v>
      </c>
      <c r="J100" s="104">
        <v>78.164</v>
      </c>
      <c r="K100" s="15">
        <v>97</v>
      </c>
      <c r="L100" s="21">
        <v>2.95</v>
      </c>
      <c r="M100" s="21">
        <v>414</v>
      </c>
      <c r="N100" s="21" t="s">
        <v>27</v>
      </c>
      <c r="O100" s="17" t="str">
        <f>_xlfn.DISPIMG("ID_30738FA729EB46418B327987370EB489",1)</f>
        <v>=DISPIMG("ID_30738FA729EB46418B327987370EB489",1)</v>
      </c>
      <c r="P100" s="21"/>
    </row>
    <row r="101" s="103" customFormat="1" ht="30" customHeight="1" spans="1:16">
      <c r="A101" s="21">
        <v>48</v>
      </c>
      <c r="B101" s="21">
        <v>21012066</v>
      </c>
      <c r="C101" s="21" t="s">
        <v>207</v>
      </c>
      <c r="D101" s="104">
        <v>86.72</v>
      </c>
      <c r="E101" s="64" t="s">
        <v>208</v>
      </c>
      <c r="F101" s="26">
        <v>62</v>
      </c>
      <c r="G101" s="15">
        <v>85</v>
      </c>
      <c r="H101" s="21">
        <v>50</v>
      </c>
      <c r="I101" s="15">
        <v>58</v>
      </c>
      <c r="J101" s="104">
        <v>78.104</v>
      </c>
      <c r="K101" s="15">
        <v>98</v>
      </c>
      <c r="L101" s="21">
        <v>3.26</v>
      </c>
      <c r="M101" s="21">
        <v>488</v>
      </c>
      <c r="N101" s="105" t="s">
        <v>20</v>
      </c>
      <c r="O101" s="21" t="str">
        <f>_xlfn.DISPIMG("ID_93606653A0AA46768807EE2291AFD8F3",1)</f>
        <v>=DISPIMG("ID_93606653A0AA46768807EE2291AFD8F3",1)</v>
      </c>
      <c r="P101" s="21"/>
    </row>
    <row r="102" s="103" customFormat="1" ht="30" customHeight="1" spans="1:16">
      <c r="A102" s="21">
        <v>39</v>
      </c>
      <c r="B102" s="21">
        <v>21012021</v>
      </c>
      <c r="C102" s="21" t="s">
        <v>209</v>
      </c>
      <c r="D102" s="104">
        <v>87.21</v>
      </c>
      <c r="E102" s="64" t="s">
        <v>210</v>
      </c>
      <c r="F102" s="26">
        <v>60</v>
      </c>
      <c r="G102" s="15">
        <v>124</v>
      </c>
      <c r="H102" s="21">
        <v>50</v>
      </c>
      <c r="I102" s="15">
        <v>58</v>
      </c>
      <c r="J102" s="104">
        <v>78.047</v>
      </c>
      <c r="K102" s="15">
        <v>99</v>
      </c>
      <c r="L102" s="21">
        <v>3.21</v>
      </c>
      <c r="M102" s="21">
        <v>471</v>
      </c>
      <c r="N102" s="105" t="s">
        <v>20</v>
      </c>
      <c r="O102" s="21" t="str">
        <f>_xlfn.DISPIMG("ID_2135E4B25E50455AB1C5B7E260938F8E",1)</f>
        <v>=DISPIMG("ID_2135E4B25E50455AB1C5B7E260938F8E",1)</v>
      </c>
      <c r="P102" s="21"/>
    </row>
    <row r="103" s="103" customFormat="1" ht="30" customHeight="1" spans="1:16">
      <c r="A103" s="21">
        <v>91</v>
      </c>
      <c r="B103" s="21">
        <v>21012134</v>
      </c>
      <c r="C103" s="21" t="s">
        <v>211</v>
      </c>
      <c r="D103" s="104">
        <v>87.17</v>
      </c>
      <c r="E103" s="64" t="s">
        <v>212</v>
      </c>
      <c r="F103" s="21">
        <v>60</v>
      </c>
      <c r="G103" s="15">
        <v>124</v>
      </c>
      <c r="H103" s="21">
        <v>50</v>
      </c>
      <c r="I103" s="15">
        <v>58</v>
      </c>
      <c r="J103" s="104">
        <v>78.019</v>
      </c>
      <c r="K103" s="15">
        <v>100</v>
      </c>
      <c r="L103" s="21">
        <v>3.19</v>
      </c>
      <c r="M103" s="21">
        <v>512</v>
      </c>
      <c r="N103" s="21" t="s">
        <v>27</v>
      </c>
      <c r="O103" s="17" t="str">
        <f>_xlfn.DISPIMG("ID_480A6F979C4E402E984ED5572520B8D5",1)</f>
        <v>=DISPIMG("ID_480A6F979C4E402E984ED5572520B8D5",1)</v>
      </c>
      <c r="P103" s="21"/>
    </row>
    <row r="104" s="103" customFormat="1" ht="30" customHeight="1" spans="1:16">
      <c r="A104" s="21">
        <v>86</v>
      </c>
      <c r="B104" s="21">
        <v>21012104</v>
      </c>
      <c r="C104" s="21" t="s">
        <v>213</v>
      </c>
      <c r="D104" s="104">
        <v>85.86</v>
      </c>
      <c r="E104" s="64" t="s">
        <v>214</v>
      </c>
      <c r="F104" s="21">
        <v>62</v>
      </c>
      <c r="G104" s="15">
        <v>85</v>
      </c>
      <c r="H104" s="21">
        <v>55</v>
      </c>
      <c r="I104" s="15">
        <v>40</v>
      </c>
      <c r="J104" s="104">
        <v>78.002</v>
      </c>
      <c r="K104" s="15">
        <v>101</v>
      </c>
      <c r="L104" s="21">
        <v>3.02</v>
      </c>
      <c r="M104" s="21">
        <v>445</v>
      </c>
      <c r="N104" s="21" t="s">
        <v>27</v>
      </c>
      <c r="O104" s="17" t="str">
        <f>_xlfn.DISPIMG("ID_B25B0CA5DF054676ABFE5319271FC946",1)</f>
        <v>=DISPIMG("ID_B25B0CA5DF054676ABFE5319271FC946",1)</v>
      </c>
      <c r="P104" s="21"/>
    </row>
    <row r="105" s="103" customFormat="1" ht="30" customHeight="1" spans="1:16">
      <c r="A105" s="21">
        <v>15</v>
      </c>
      <c r="B105" s="26">
        <v>21012096</v>
      </c>
      <c r="C105" s="26" t="s">
        <v>215</v>
      </c>
      <c r="D105" s="104">
        <v>85.66</v>
      </c>
      <c r="E105" s="64" t="s">
        <v>216</v>
      </c>
      <c r="F105" s="26">
        <v>60</v>
      </c>
      <c r="G105" s="15">
        <v>124</v>
      </c>
      <c r="H105" s="26">
        <v>60</v>
      </c>
      <c r="I105" s="15">
        <v>21</v>
      </c>
      <c r="J105" s="104">
        <v>77.962</v>
      </c>
      <c r="K105" s="15">
        <v>102</v>
      </c>
      <c r="L105" s="21">
        <v>3.14</v>
      </c>
      <c r="M105" s="26">
        <v>499</v>
      </c>
      <c r="N105" s="26" t="s">
        <v>20</v>
      </c>
      <c r="O105" s="16" t="str">
        <f>_xlfn.DISPIMG("ID_D6D1C95FA72545CDB236760FA3BB4993",1)</f>
        <v>=DISPIMG("ID_D6D1C95FA72545CDB236760FA3BB4993",1)</v>
      </c>
      <c r="P105" s="26"/>
    </row>
    <row r="106" s="103" customFormat="1" ht="30" customHeight="1" spans="1:16">
      <c r="A106" s="21">
        <v>142</v>
      </c>
      <c r="B106" s="26">
        <v>21012095</v>
      </c>
      <c r="C106" s="26" t="s">
        <v>217</v>
      </c>
      <c r="D106" s="104">
        <v>85.24</v>
      </c>
      <c r="E106" s="64" t="s">
        <v>218</v>
      </c>
      <c r="F106" s="26">
        <v>64</v>
      </c>
      <c r="G106" s="15">
        <v>48</v>
      </c>
      <c r="H106" s="26">
        <v>54</v>
      </c>
      <c r="I106" s="15">
        <v>45</v>
      </c>
      <c r="J106" s="104">
        <v>77.868</v>
      </c>
      <c r="K106" s="15">
        <v>103</v>
      </c>
      <c r="L106" s="21">
        <v>3.1</v>
      </c>
      <c r="M106" s="26">
        <v>366</v>
      </c>
      <c r="N106" s="26" t="s">
        <v>20</v>
      </c>
      <c r="O106" s="17" t="str">
        <f>_xlfn.DISPIMG("ID_F6F7A05DA5634584A6585A4B08C87D4B",1)</f>
        <v>=DISPIMG("ID_F6F7A05DA5634584A6585A4B08C87D4B",1)</v>
      </c>
      <c r="P106" s="21"/>
    </row>
    <row r="107" s="103" customFormat="1" ht="30" customHeight="1" spans="1:16">
      <c r="A107" s="21">
        <v>8</v>
      </c>
      <c r="B107" s="26">
        <v>21012101</v>
      </c>
      <c r="C107" s="26" t="s">
        <v>219</v>
      </c>
      <c r="D107" s="104">
        <v>86.83</v>
      </c>
      <c r="E107" s="64" t="s">
        <v>220</v>
      </c>
      <c r="F107" s="26">
        <v>60</v>
      </c>
      <c r="G107" s="15">
        <v>124</v>
      </c>
      <c r="H107" s="26">
        <v>50</v>
      </c>
      <c r="I107" s="15">
        <v>58</v>
      </c>
      <c r="J107" s="104">
        <v>77.781</v>
      </c>
      <c r="K107" s="15">
        <v>104</v>
      </c>
      <c r="L107" s="21">
        <v>3.24</v>
      </c>
      <c r="M107" s="26">
        <v>507</v>
      </c>
      <c r="N107" s="26" t="s">
        <v>20</v>
      </c>
      <c r="O107" s="17" t="str">
        <f>_xlfn.DISPIMG("ID_1735D640A5DA49EE8F64060DB78884E5",1)</f>
        <v>=DISPIMG("ID_1735D640A5DA49EE8F64060DB78884E5",1)</v>
      </c>
      <c r="P107" s="26"/>
    </row>
    <row r="108" s="103" customFormat="1" ht="30" customHeight="1" spans="1:16">
      <c r="A108" s="21">
        <v>69</v>
      </c>
      <c r="B108" s="21">
        <v>21012014</v>
      </c>
      <c r="C108" s="21" t="s">
        <v>221</v>
      </c>
      <c r="D108" s="104">
        <v>86.74</v>
      </c>
      <c r="E108" s="64" t="s">
        <v>222</v>
      </c>
      <c r="F108" s="21">
        <v>60</v>
      </c>
      <c r="G108" s="15">
        <v>124</v>
      </c>
      <c r="H108" s="21">
        <v>50</v>
      </c>
      <c r="I108" s="15">
        <v>58</v>
      </c>
      <c r="J108" s="104">
        <v>77.718</v>
      </c>
      <c r="K108" s="15">
        <v>105</v>
      </c>
      <c r="L108" s="21">
        <v>3.12</v>
      </c>
      <c r="M108" s="21">
        <v>432</v>
      </c>
      <c r="N108" s="21" t="s">
        <v>27</v>
      </c>
      <c r="O108" s="17" t="str">
        <f>_xlfn.DISPIMG("ID_4E291C5D7F5C45DAA4787E5B005AB433",1)</f>
        <v>=DISPIMG("ID_4E291C5D7F5C45DAA4787E5B005AB433",1)</v>
      </c>
      <c r="P108" s="21"/>
    </row>
    <row r="109" s="103" customFormat="1" ht="30" customHeight="1" spans="1:16">
      <c r="A109" s="21">
        <v>30</v>
      </c>
      <c r="B109" s="26">
        <v>21012114</v>
      </c>
      <c r="C109" s="26" t="s">
        <v>223</v>
      </c>
      <c r="D109" s="104">
        <v>86.16</v>
      </c>
      <c r="E109" s="64" t="s">
        <v>224</v>
      </c>
      <c r="F109" s="26">
        <v>62</v>
      </c>
      <c r="G109" s="15">
        <v>85</v>
      </c>
      <c r="H109" s="26">
        <v>50</v>
      </c>
      <c r="I109" s="15">
        <v>58</v>
      </c>
      <c r="J109" s="104">
        <v>77.712</v>
      </c>
      <c r="K109" s="15">
        <v>106</v>
      </c>
      <c r="L109" s="21">
        <v>3.19</v>
      </c>
      <c r="M109" s="26">
        <v>450</v>
      </c>
      <c r="N109" s="26" t="s">
        <v>20</v>
      </c>
      <c r="O109" s="17" t="str">
        <f>_xlfn.DISPIMG("ID_8EF37FF9D508494CA9352F36F92A123C",1)</f>
        <v>=DISPIMG("ID_8EF37FF9D508494CA9352F36F92A123C",1)</v>
      </c>
      <c r="P109" s="21"/>
    </row>
    <row r="110" s="103" customFormat="1" ht="30" customHeight="1" spans="1:16">
      <c r="A110" s="21">
        <v>134</v>
      </c>
      <c r="B110" s="26">
        <v>21012048</v>
      </c>
      <c r="C110" s="26" t="s">
        <v>225</v>
      </c>
      <c r="D110" s="104">
        <v>84.52</v>
      </c>
      <c r="E110" s="64" t="s">
        <v>226</v>
      </c>
      <c r="F110" s="26">
        <v>64</v>
      </c>
      <c r="G110" s="15">
        <v>48</v>
      </c>
      <c r="H110" s="26">
        <v>57</v>
      </c>
      <c r="I110" s="15">
        <v>35</v>
      </c>
      <c r="J110" s="104">
        <v>77.664</v>
      </c>
      <c r="K110" s="15">
        <v>107</v>
      </c>
      <c r="L110" s="21">
        <v>2.91</v>
      </c>
      <c r="M110" s="26">
        <v>554</v>
      </c>
      <c r="N110" s="26" t="s">
        <v>27</v>
      </c>
      <c r="O110" s="17" t="str">
        <f>_xlfn.DISPIMG("ID_699949D1967A4F77AEBF54D184EF87B0",1)</f>
        <v>=DISPIMG("ID_699949D1967A4F77AEBF54D184EF87B0",1)</v>
      </c>
      <c r="P110" s="21"/>
    </row>
    <row r="111" s="103" customFormat="1" ht="30" customHeight="1" spans="1:16">
      <c r="A111" s="21">
        <v>51</v>
      </c>
      <c r="B111" s="21">
        <v>21012087</v>
      </c>
      <c r="C111" s="21" t="s">
        <v>227</v>
      </c>
      <c r="D111" s="104">
        <v>86.45</v>
      </c>
      <c r="E111" s="64" t="s">
        <v>228</v>
      </c>
      <c r="F111" s="26">
        <v>60</v>
      </c>
      <c r="G111" s="15">
        <v>124</v>
      </c>
      <c r="H111" s="21">
        <v>50</v>
      </c>
      <c r="I111" s="15">
        <v>58</v>
      </c>
      <c r="J111" s="104">
        <v>77.515</v>
      </c>
      <c r="K111" s="15">
        <v>108</v>
      </c>
      <c r="L111" s="21">
        <v>3.22</v>
      </c>
      <c r="M111" s="21">
        <v>451</v>
      </c>
      <c r="N111" s="105" t="s">
        <v>20</v>
      </c>
      <c r="O111" s="21" t="str">
        <f>_xlfn.DISPIMG("ID_290590C3B71744E29D9AD520DC49FFD2",1)</f>
        <v>=DISPIMG("ID_290590C3B71744E29D9AD520DC49FFD2",1)</v>
      </c>
      <c r="P111" s="21"/>
    </row>
    <row r="112" s="103" customFormat="1" ht="30" customHeight="1" spans="1:16">
      <c r="A112" s="21">
        <v>54</v>
      </c>
      <c r="B112" s="21">
        <v>21012100</v>
      </c>
      <c r="C112" s="21" t="s">
        <v>229</v>
      </c>
      <c r="D112" s="104">
        <v>86.45</v>
      </c>
      <c r="E112" s="64" t="s">
        <v>228</v>
      </c>
      <c r="F112" s="26">
        <v>60</v>
      </c>
      <c r="G112" s="15">
        <v>124</v>
      </c>
      <c r="H112" s="21">
        <v>50</v>
      </c>
      <c r="I112" s="15">
        <v>58</v>
      </c>
      <c r="J112" s="104">
        <v>77.515</v>
      </c>
      <c r="K112" s="15">
        <v>108</v>
      </c>
      <c r="L112" s="21">
        <v>3.07</v>
      </c>
      <c r="M112" s="21">
        <v>508</v>
      </c>
      <c r="N112" s="105" t="s">
        <v>20</v>
      </c>
      <c r="O112" s="21" t="str">
        <f>_xlfn.DISPIMG("ID_359250A318A549C3A1A77287121972DB",1)</f>
        <v>=DISPIMG("ID_359250A318A549C3A1A77287121972DB",1)</v>
      </c>
      <c r="P112" s="21"/>
    </row>
    <row r="113" s="103" customFormat="1" ht="30" customHeight="1" spans="1:16">
      <c r="A113" s="21">
        <v>92</v>
      </c>
      <c r="B113" s="21">
        <v>21012145</v>
      </c>
      <c r="C113" s="21" t="s">
        <v>230</v>
      </c>
      <c r="D113" s="104">
        <v>85.28</v>
      </c>
      <c r="E113" s="64" t="s">
        <v>231</v>
      </c>
      <c r="F113" s="21">
        <v>60</v>
      </c>
      <c r="G113" s="15">
        <v>124</v>
      </c>
      <c r="H113" s="21">
        <v>58</v>
      </c>
      <c r="I113" s="15">
        <v>32</v>
      </c>
      <c r="J113" s="104">
        <v>77.496</v>
      </c>
      <c r="K113" s="15">
        <v>110</v>
      </c>
      <c r="L113" s="21">
        <v>3.12</v>
      </c>
      <c r="M113" s="21">
        <v>486</v>
      </c>
      <c r="N113" s="21" t="s">
        <v>27</v>
      </c>
      <c r="O113" s="17" t="str">
        <f>_xlfn.DISPIMG("ID_A8E5F529AFA74A0BA50B109E42ED5D8B",1)</f>
        <v>=DISPIMG("ID_A8E5F529AFA74A0BA50B109E42ED5D8B",1)</v>
      </c>
      <c r="P113" s="21"/>
    </row>
    <row r="114" s="103" customFormat="1" ht="30" customHeight="1" spans="1:16">
      <c r="A114" s="21">
        <v>6</v>
      </c>
      <c r="B114" s="26">
        <v>21012053</v>
      </c>
      <c r="C114" s="26" t="s">
        <v>232</v>
      </c>
      <c r="D114" s="104">
        <v>86.41</v>
      </c>
      <c r="E114" s="64" t="s">
        <v>233</v>
      </c>
      <c r="F114" s="26">
        <v>60</v>
      </c>
      <c r="G114" s="15">
        <v>124</v>
      </c>
      <c r="H114" s="26">
        <v>50</v>
      </c>
      <c r="I114" s="15">
        <v>58</v>
      </c>
      <c r="J114" s="104">
        <v>77.487</v>
      </c>
      <c r="K114" s="15">
        <v>111</v>
      </c>
      <c r="L114" s="21">
        <v>3.12</v>
      </c>
      <c r="M114" s="26">
        <v>425</v>
      </c>
      <c r="N114" s="26" t="s">
        <v>27</v>
      </c>
      <c r="O114" s="17" t="str">
        <f>_xlfn.DISPIMG("ID_81E7EAB4B5BA4F6184E3D0BBA150608D",1)</f>
        <v>=DISPIMG("ID_81E7EAB4B5BA4F6184E3D0BBA150608D",1)</v>
      </c>
      <c r="P114" s="26"/>
    </row>
    <row r="115" s="103" customFormat="1" ht="30" customHeight="1" spans="1:16">
      <c r="A115" s="21">
        <v>94</v>
      </c>
      <c r="B115" s="21">
        <v>21012156</v>
      </c>
      <c r="C115" s="21" t="s">
        <v>234</v>
      </c>
      <c r="D115" s="104">
        <v>85.79</v>
      </c>
      <c r="E115" s="64" t="s">
        <v>235</v>
      </c>
      <c r="F115" s="21">
        <v>62</v>
      </c>
      <c r="G115" s="15">
        <v>85</v>
      </c>
      <c r="H115" s="21">
        <v>50</v>
      </c>
      <c r="I115" s="15">
        <v>58</v>
      </c>
      <c r="J115" s="104">
        <v>77.453</v>
      </c>
      <c r="K115" s="15">
        <v>112</v>
      </c>
      <c r="L115" s="21">
        <v>3.05</v>
      </c>
      <c r="M115" s="21">
        <v>465</v>
      </c>
      <c r="N115" s="21" t="s">
        <v>27</v>
      </c>
      <c r="O115" s="106" t="str">
        <f>_xlfn.DISPIMG("ID_6436E0539C654818AA5F6094AA0017F5",1)</f>
        <v>=DISPIMG("ID_6436E0539C654818AA5F6094AA0017F5",1)</v>
      </c>
      <c r="P115" s="21"/>
    </row>
    <row r="116" s="103" customFormat="1" ht="30" customHeight="1" spans="1:16">
      <c r="A116" s="21">
        <v>130</v>
      </c>
      <c r="B116" s="26">
        <v>21012027</v>
      </c>
      <c r="C116" s="26" t="s">
        <v>236</v>
      </c>
      <c r="D116" s="104">
        <v>85.14</v>
      </c>
      <c r="E116" s="64" t="s">
        <v>237</v>
      </c>
      <c r="F116" s="26">
        <v>64</v>
      </c>
      <c r="G116" s="15">
        <v>48</v>
      </c>
      <c r="H116" s="26">
        <v>50</v>
      </c>
      <c r="I116" s="15">
        <v>58</v>
      </c>
      <c r="J116" s="104">
        <v>77.398</v>
      </c>
      <c r="K116" s="15">
        <v>113</v>
      </c>
      <c r="L116" s="21">
        <v>2.74</v>
      </c>
      <c r="M116" s="26">
        <v>458</v>
      </c>
      <c r="N116" s="26" t="s">
        <v>20</v>
      </c>
      <c r="O116" s="17" t="str">
        <f>_xlfn.DISPIMG("ID_8EBB7600C91D40EBBE2509E8CBE2077B",1)</f>
        <v>=DISPIMG("ID_8EBB7600C91D40EBBE2509E8CBE2077B",1)</v>
      </c>
      <c r="P116" s="21"/>
    </row>
    <row r="117" s="103" customFormat="1" ht="30" customHeight="1" spans="1:16">
      <c r="A117" s="21">
        <v>11</v>
      </c>
      <c r="B117" s="26">
        <v>21012093</v>
      </c>
      <c r="C117" s="26" t="s">
        <v>238</v>
      </c>
      <c r="D117" s="104">
        <v>85.9</v>
      </c>
      <c r="E117" s="64" t="s">
        <v>239</v>
      </c>
      <c r="F117" s="26">
        <v>60</v>
      </c>
      <c r="G117" s="15">
        <v>124</v>
      </c>
      <c r="H117" s="26">
        <v>50</v>
      </c>
      <c r="I117" s="15">
        <v>58</v>
      </c>
      <c r="J117" s="104">
        <v>77.13</v>
      </c>
      <c r="K117" s="15">
        <v>114</v>
      </c>
      <c r="L117" s="21">
        <v>3.09</v>
      </c>
      <c r="M117" s="26">
        <v>464</v>
      </c>
      <c r="N117" s="26" t="s">
        <v>20</v>
      </c>
      <c r="O117" s="17" t="str">
        <f>_xlfn.DISPIMG("ID_91E52A1D90904F4DBBA2995715A7F88D",1)</f>
        <v>=DISPIMG("ID_91E52A1D90904F4DBBA2995715A7F88D",1)</v>
      </c>
      <c r="P117" s="26"/>
    </row>
    <row r="118" s="103" customFormat="1" ht="30" customHeight="1" spans="1:16">
      <c r="A118" s="21">
        <v>52</v>
      </c>
      <c r="B118" s="21">
        <v>21012090</v>
      </c>
      <c r="C118" s="21" t="s">
        <v>240</v>
      </c>
      <c r="D118" s="104">
        <v>85.83</v>
      </c>
      <c r="E118" s="64" t="s">
        <v>241</v>
      </c>
      <c r="F118" s="26">
        <v>60</v>
      </c>
      <c r="G118" s="15">
        <v>124</v>
      </c>
      <c r="H118" s="21">
        <v>50</v>
      </c>
      <c r="I118" s="15">
        <v>58</v>
      </c>
      <c r="J118" s="104">
        <v>77.081</v>
      </c>
      <c r="K118" s="15">
        <v>115</v>
      </c>
      <c r="L118" s="21">
        <v>3.14</v>
      </c>
      <c r="M118" s="21">
        <v>427</v>
      </c>
      <c r="N118" s="105" t="s">
        <v>20</v>
      </c>
      <c r="O118" s="21" t="str">
        <f>_xlfn.DISPIMG("ID_6A4155D005934C27862207BA783DD1F8",1)</f>
        <v>=DISPIMG("ID_6A4155D005934C27862207BA783DD1F8",1)</v>
      </c>
      <c r="P118" s="21"/>
    </row>
    <row r="119" s="103" customFormat="1" ht="30" customHeight="1" spans="1:16">
      <c r="A119" s="21">
        <v>59</v>
      </c>
      <c r="B119" s="21">
        <v>21012126</v>
      </c>
      <c r="C119" s="21" t="s">
        <v>242</v>
      </c>
      <c r="D119" s="104">
        <v>85.24</v>
      </c>
      <c r="E119" s="64" t="s">
        <v>218</v>
      </c>
      <c r="F119" s="26">
        <v>62</v>
      </c>
      <c r="G119" s="15">
        <v>85</v>
      </c>
      <c r="H119" s="21">
        <v>50</v>
      </c>
      <c r="I119" s="15">
        <v>58</v>
      </c>
      <c r="J119" s="104">
        <v>77.068</v>
      </c>
      <c r="K119" s="15">
        <v>116</v>
      </c>
      <c r="L119" s="21">
        <v>3.03</v>
      </c>
      <c r="M119" s="21">
        <v>473</v>
      </c>
      <c r="N119" s="105" t="s">
        <v>20</v>
      </c>
      <c r="O119" s="21" t="str">
        <f>_xlfn.DISPIMG("ID_B05D86026617406FA45D9E2B2F7EB484",1)</f>
        <v>=DISPIMG("ID_B05D86026617406FA45D9E2B2F7EB484",1)</v>
      </c>
      <c r="P119" s="21"/>
    </row>
    <row r="120" s="103" customFormat="1" ht="30" customHeight="1" spans="1:16">
      <c r="A120" s="21">
        <v>107</v>
      </c>
      <c r="B120" s="26">
        <v>21012061</v>
      </c>
      <c r="C120" s="26" t="s">
        <v>243</v>
      </c>
      <c r="D120" s="104">
        <v>84.52</v>
      </c>
      <c r="E120" s="64" t="s">
        <v>226</v>
      </c>
      <c r="F120" s="26">
        <v>64</v>
      </c>
      <c r="G120" s="15">
        <v>48</v>
      </c>
      <c r="H120" s="26">
        <v>50</v>
      </c>
      <c r="I120" s="15">
        <v>58</v>
      </c>
      <c r="J120" s="104">
        <v>76.964</v>
      </c>
      <c r="K120" s="15">
        <v>117</v>
      </c>
      <c r="L120" s="21">
        <v>2.95</v>
      </c>
      <c r="M120" s="26"/>
      <c r="N120" s="105" t="s">
        <v>27</v>
      </c>
      <c r="O120" s="17" t="str">
        <f>_xlfn.DISPIMG("ID_55EB950D551E4CB4A91898872C5A3472",1)</f>
        <v>=DISPIMG("ID_55EB950D551E4CB4A91898872C5A3472",1)</v>
      </c>
      <c r="P120" s="21"/>
    </row>
    <row r="121" s="103" customFormat="1" ht="30" customHeight="1" spans="1:16">
      <c r="A121" s="21">
        <v>73</v>
      </c>
      <c r="B121" s="21">
        <v>21012034</v>
      </c>
      <c r="C121" s="21" t="s">
        <v>244</v>
      </c>
      <c r="D121" s="104">
        <v>84.86</v>
      </c>
      <c r="E121" s="64" t="s">
        <v>245</v>
      </c>
      <c r="F121" s="21">
        <v>60.5</v>
      </c>
      <c r="G121" s="15">
        <v>115</v>
      </c>
      <c r="H121" s="21">
        <v>54</v>
      </c>
      <c r="I121" s="15">
        <v>45</v>
      </c>
      <c r="J121" s="104">
        <v>76.902</v>
      </c>
      <c r="K121" s="15">
        <v>118</v>
      </c>
      <c r="L121" s="21">
        <v>3.05</v>
      </c>
      <c r="M121" s="21">
        <v>473</v>
      </c>
      <c r="N121" s="21" t="s">
        <v>27</v>
      </c>
      <c r="O121" s="17" t="str">
        <f>_xlfn.DISPIMG("ID_CCAABE6708F44A89B2F0A7566A3D1F37",1)</f>
        <v>=DISPIMG("ID_CCAABE6708F44A89B2F0A7566A3D1F37",1)</v>
      </c>
      <c r="P121" s="21"/>
    </row>
    <row r="122" s="103" customFormat="1" ht="30" customHeight="1" spans="1:16">
      <c r="A122" s="21">
        <v>106</v>
      </c>
      <c r="B122" s="26">
        <v>21012058</v>
      </c>
      <c r="C122" s="26" t="s">
        <v>246</v>
      </c>
      <c r="D122" s="104">
        <v>84.93</v>
      </c>
      <c r="E122" s="64" t="s">
        <v>247</v>
      </c>
      <c r="F122" s="26">
        <v>62</v>
      </c>
      <c r="G122" s="15">
        <v>85</v>
      </c>
      <c r="H122" s="26">
        <v>50</v>
      </c>
      <c r="I122" s="15">
        <v>58</v>
      </c>
      <c r="J122" s="104">
        <v>76.851</v>
      </c>
      <c r="K122" s="15">
        <v>119</v>
      </c>
      <c r="L122" s="21">
        <v>3.09</v>
      </c>
      <c r="M122" s="26">
        <v>397</v>
      </c>
      <c r="N122" s="105" t="s">
        <v>27</v>
      </c>
      <c r="O122" s="17" t="str">
        <f>_xlfn.DISPIMG("ID_CB16E147D4A4458AAC9B9E42A98B4F60",1)</f>
        <v>=DISPIMG("ID_CB16E147D4A4458AAC9B9E42A98B4F60",1)</v>
      </c>
      <c r="P122" s="21"/>
    </row>
    <row r="123" s="103" customFormat="1" ht="30" customHeight="1" spans="1:16">
      <c r="A123" s="21">
        <v>70</v>
      </c>
      <c r="B123" s="21">
        <v>21012019</v>
      </c>
      <c r="C123" s="21" t="s">
        <v>248</v>
      </c>
      <c r="D123" s="104">
        <v>84.34</v>
      </c>
      <c r="E123" s="64" t="s">
        <v>249</v>
      </c>
      <c r="F123" s="21">
        <v>64</v>
      </c>
      <c r="G123" s="15">
        <v>48</v>
      </c>
      <c r="H123" s="21">
        <v>50</v>
      </c>
      <c r="I123" s="15">
        <v>58</v>
      </c>
      <c r="J123" s="104">
        <v>76.838</v>
      </c>
      <c r="K123" s="15">
        <v>120</v>
      </c>
      <c r="L123" s="21">
        <v>2.88</v>
      </c>
      <c r="M123" s="21">
        <v>445</v>
      </c>
      <c r="N123" s="21" t="s">
        <v>27</v>
      </c>
      <c r="O123" s="17" t="str">
        <f>_xlfn.DISPIMG("ID_C7CA0887D99445F89CFA1E45ABCBE067",1)</f>
        <v>=DISPIMG("ID_C7CA0887D99445F89CFA1E45ABCBE067",1)</v>
      </c>
      <c r="P123" s="21"/>
    </row>
    <row r="124" s="103" customFormat="1" ht="30" customHeight="1" spans="1:16">
      <c r="A124" s="21">
        <v>123</v>
      </c>
      <c r="B124" s="26">
        <v>21012146</v>
      </c>
      <c r="C124" s="26" t="s">
        <v>250</v>
      </c>
      <c r="D124" s="104">
        <v>84.17</v>
      </c>
      <c r="E124" s="64" t="s">
        <v>251</v>
      </c>
      <c r="F124" s="26">
        <v>64.5</v>
      </c>
      <c r="G124" s="15">
        <v>45</v>
      </c>
      <c r="H124" s="26">
        <v>50</v>
      </c>
      <c r="I124" s="15">
        <v>58</v>
      </c>
      <c r="J124" s="104">
        <v>76.819</v>
      </c>
      <c r="K124" s="15">
        <v>121</v>
      </c>
      <c r="L124" s="21">
        <v>2.91</v>
      </c>
      <c r="M124" s="26">
        <v>429</v>
      </c>
      <c r="N124" s="105" t="s">
        <v>27</v>
      </c>
      <c r="O124" s="17" t="str">
        <f>_xlfn.DISPIMG("ID_CD3E56EDC4AA4290A16CE18B393DABEA",1)</f>
        <v>=DISPIMG("ID_CD3E56EDC4AA4290A16CE18B393DABEA",1)</v>
      </c>
      <c r="P124" s="21"/>
    </row>
    <row r="125" s="103" customFormat="1" ht="30" customHeight="1" spans="1:16">
      <c r="A125" s="21">
        <v>32</v>
      </c>
      <c r="B125" s="26">
        <v>21012032</v>
      </c>
      <c r="C125" s="26" t="s">
        <v>252</v>
      </c>
      <c r="D125" s="104">
        <v>82.79</v>
      </c>
      <c r="E125" s="64" t="s">
        <v>253</v>
      </c>
      <c r="F125" s="26">
        <v>64</v>
      </c>
      <c r="G125" s="15">
        <v>48</v>
      </c>
      <c r="H125" s="26">
        <v>59</v>
      </c>
      <c r="I125" s="15">
        <v>27</v>
      </c>
      <c r="J125" s="104">
        <v>76.653</v>
      </c>
      <c r="K125" s="15">
        <v>122</v>
      </c>
      <c r="L125" s="21">
        <v>2.62</v>
      </c>
      <c r="M125" s="26">
        <v>444</v>
      </c>
      <c r="N125" s="26" t="s">
        <v>20</v>
      </c>
      <c r="O125" s="17" t="str">
        <f>_xlfn.DISPIMG("ID_C63C45AC8545441FA9AA27465EE8F066",1)</f>
        <v>=DISPIMG("ID_C63C45AC8545441FA9AA27465EE8F066",1)</v>
      </c>
      <c r="P125" s="26"/>
    </row>
    <row r="126" s="103" customFormat="1" ht="30" customHeight="1" spans="1:16">
      <c r="A126" s="21">
        <v>78</v>
      </c>
      <c r="B126" s="21">
        <v>21012057</v>
      </c>
      <c r="C126" s="21" t="s">
        <v>254</v>
      </c>
      <c r="D126" s="104">
        <v>85.14</v>
      </c>
      <c r="E126" s="64" t="s">
        <v>237</v>
      </c>
      <c r="F126" s="21">
        <v>60</v>
      </c>
      <c r="G126" s="15">
        <v>124</v>
      </c>
      <c r="H126" s="21">
        <v>50</v>
      </c>
      <c r="I126" s="15">
        <v>58</v>
      </c>
      <c r="J126" s="104">
        <v>76.598</v>
      </c>
      <c r="K126" s="15">
        <v>123</v>
      </c>
      <c r="L126" s="21">
        <v>3.14</v>
      </c>
      <c r="M126" s="21">
        <v>484</v>
      </c>
      <c r="N126" s="21" t="s">
        <v>27</v>
      </c>
      <c r="O126" s="17" t="str">
        <f>_xlfn.DISPIMG("ID_FA7DCD9E0FCF4766BC752710075E8685",1)</f>
        <v>=DISPIMG("ID_FA7DCD9E0FCF4766BC752710075E8685",1)</v>
      </c>
      <c r="P126" s="21"/>
    </row>
    <row r="127" s="103" customFormat="1" ht="30" customHeight="1" spans="1:16">
      <c r="A127" s="21">
        <v>35</v>
      </c>
      <c r="B127" s="21">
        <v>21012002</v>
      </c>
      <c r="C127" s="21" t="s">
        <v>255</v>
      </c>
      <c r="D127" s="104">
        <v>85.1</v>
      </c>
      <c r="E127" s="64" t="s">
        <v>256</v>
      </c>
      <c r="F127" s="26">
        <v>60</v>
      </c>
      <c r="G127" s="15">
        <v>124</v>
      </c>
      <c r="H127" s="21">
        <v>50</v>
      </c>
      <c r="I127" s="15">
        <v>58</v>
      </c>
      <c r="J127" s="104">
        <v>76.57</v>
      </c>
      <c r="K127" s="15">
        <v>124</v>
      </c>
      <c r="L127" s="21">
        <v>3</v>
      </c>
      <c r="M127" s="21">
        <v>523</v>
      </c>
      <c r="N127" s="21" t="s">
        <v>20</v>
      </c>
      <c r="O127" s="21" t="str">
        <f>_xlfn.DISPIMG("ID_7F19F2AAF1BE4D6F90B042FF901E566C",1)</f>
        <v>=DISPIMG("ID_7F19F2AAF1BE4D6F90B042FF901E566C",1)</v>
      </c>
      <c r="P127" s="21"/>
    </row>
    <row r="128" s="103" customFormat="1" ht="30" customHeight="1" spans="1:16">
      <c r="A128" s="21">
        <v>72</v>
      </c>
      <c r="B128" s="21">
        <v>21012030</v>
      </c>
      <c r="C128" s="21" t="s">
        <v>257</v>
      </c>
      <c r="D128" s="104">
        <v>84.76</v>
      </c>
      <c r="E128" s="64" t="s">
        <v>258</v>
      </c>
      <c r="F128" s="21">
        <v>60.5</v>
      </c>
      <c r="G128" s="15">
        <v>115</v>
      </c>
      <c r="H128" s="21">
        <v>50</v>
      </c>
      <c r="I128" s="15">
        <v>58</v>
      </c>
      <c r="J128" s="104">
        <v>76.432</v>
      </c>
      <c r="K128" s="15">
        <v>125</v>
      </c>
      <c r="L128" s="21">
        <v>3.05</v>
      </c>
      <c r="M128" s="21">
        <v>430</v>
      </c>
      <c r="N128" s="21" t="s">
        <v>27</v>
      </c>
      <c r="O128" s="17" t="str">
        <f>_xlfn.DISPIMG("ID_DA3D51D1E4D74650988C807CDC410648",1)</f>
        <v>=DISPIMG("ID_DA3D51D1E4D74650988C807CDC410648",1)</v>
      </c>
      <c r="P128" s="21"/>
    </row>
    <row r="129" s="103" customFormat="1" ht="30" customHeight="1" spans="1:16">
      <c r="A129" s="21">
        <v>3</v>
      </c>
      <c r="B129" s="26">
        <v>21012088</v>
      </c>
      <c r="C129" s="26" t="s">
        <v>259</v>
      </c>
      <c r="D129" s="104">
        <v>81.58</v>
      </c>
      <c r="E129" s="64" t="s">
        <v>260</v>
      </c>
      <c r="F129" s="26">
        <v>67.5</v>
      </c>
      <c r="G129" s="15">
        <v>29</v>
      </c>
      <c r="H129" s="26">
        <v>58</v>
      </c>
      <c r="I129" s="15">
        <v>32</v>
      </c>
      <c r="J129" s="104">
        <v>76.406</v>
      </c>
      <c r="K129" s="15">
        <v>126</v>
      </c>
      <c r="L129" s="21">
        <v>2.97</v>
      </c>
      <c r="M129" s="26">
        <v>451</v>
      </c>
      <c r="N129" s="26" t="s">
        <v>20</v>
      </c>
      <c r="O129" s="17" t="str">
        <f>_xlfn.DISPIMG("ID_F3BED46223DC482097C96DA3EEC66E4A",1)</f>
        <v>=DISPIMG("ID_F3BED46223DC482097C96DA3EEC66E4A",1)</v>
      </c>
      <c r="P129" s="26"/>
    </row>
    <row r="130" s="103" customFormat="1" ht="30" customHeight="1" spans="1:16">
      <c r="A130" s="21">
        <v>79</v>
      </c>
      <c r="B130" s="21">
        <v>21012067</v>
      </c>
      <c r="C130" s="26" t="s">
        <v>261</v>
      </c>
      <c r="D130" s="104">
        <v>84.66</v>
      </c>
      <c r="E130" s="64" t="s">
        <v>262</v>
      </c>
      <c r="F130" s="21">
        <v>60</v>
      </c>
      <c r="G130" s="15">
        <v>124</v>
      </c>
      <c r="H130" s="21">
        <v>50</v>
      </c>
      <c r="I130" s="15">
        <v>58</v>
      </c>
      <c r="J130" s="104">
        <v>76.262</v>
      </c>
      <c r="K130" s="15">
        <v>127</v>
      </c>
      <c r="L130" s="21">
        <v>2.98</v>
      </c>
      <c r="M130" s="21">
        <v>449</v>
      </c>
      <c r="N130" s="21" t="s">
        <v>27</v>
      </c>
      <c r="O130" s="17" t="str">
        <f>_xlfn.DISPIMG("ID_57F86513A98E4AB7B581DB6654B03156",1)</f>
        <v>=DISPIMG("ID_57F86513A98E4AB7B581DB6654B03156",1)</v>
      </c>
      <c r="P130" s="21"/>
    </row>
    <row r="131" s="103" customFormat="1" ht="30" customHeight="1" spans="1:16">
      <c r="A131" s="21">
        <v>90</v>
      </c>
      <c r="B131" s="21">
        <v>21012123</v>
      </c>
      <c r="C131" s="21" t="s">
        <v>263</v>
      </c>
      <c r="D131" s="104">
        <v>83.07</v>
      </c>
      <c r="E131" s="64" t="s">
        <v>264</v>
      </c>
      <c r="F131" s="21">
        <v>60</v>
      </c>
      <c r="G131" s="15">
        <v>124</v>
      </c>
      <c r="H131" s="21">
        <v>60</v>
      </c>
      <c r="I131" s="15">
        <v>21</v>
      </c>
      <c r="J131" s="104">
        <v>76.149</v>
      </c>
      <c r="K131" s="15">
        <v>128</v>
      </c>
      <c r="L131" s="21">
        <v>2.9</v>
      </c>
      <c r="M131" s="21">
        <v>410</v>
      </c>
      <c r="N131" s="21" t="s">
        <v>27</v>
      </c>
      <c r="O131" s="17" t="str">
        <f>_xlfn.DISPIMG("ID_A321F4FDB3B842EF97BD9F23CFCD76DD",1)</f>
        <v>=DISPIMG("ID_A321F4FDB3B842EF97BD9F23CFCD76DD",1)</v>
      </c>
      <c r="P131" s="21"/>
    </row>
    <row r="132" s="103" customFormat="1" ht="30" customHeight="1" spans="1:16">
      <c r="A132" s="21">
        <v>40</v>
      </c>
      <c r="B132" s="21">
        <v>21012024</v>
      </c>
      <c r="C132" s="21" t="s">
        <v>265</v>
      </c>
      <c r="D132" s="104">
        <v>83.72</v>
      </c>
      <c r="E132" s="64" t="s">
        <v>266</v>
      </c>
      <c r="F132" s="26">
        <v>62</v>
      </c>
      <c r="G132" s="15">
        <v>85</v>
      </c>
      <c r="H132" s="21">
        <v>50</v>
      </c>
      <c r="I132" s="15">
        <v>58</v>
      </c>
      <c r="J132" s="104">
        <v>76.004</v>
      </c>
      <c r="K132" s="15">
        <v>129</v>
      </c>
      <c r="L132" s="21">
        <v>3</v>
      </c>
      <c r="M132" s="21">
        <v>392</v>
      </c>
      <c r="N132" s="105" t="s">
        <v>20</v>
      </c>
      <c r="O132" s="21" t="str">
        <f>_xlfn.DISPIMG("ID_C1B3B97AE1F94027BDF4A7D5B9765F9D",1)</f>
        <v>=DISPIMG("ID_C1B3B97AE1F94027BDF4A7D5B9765F9D",1)</v>
      </c>
      <c r="P132" s="21"/>
    </row>
    <row r="133" s="103" customFormat="1" ht="30" customHeight="1" spans="1:16">
      <c r="A133" s="21">
        <v>49</v>
      </c>
      <c r="B133" s="21">
        <v>21012076</v>
      </c>
      <c r="C133" s="21" t="s">
        <v>267</v>
      </c>
      <c r="D133" s="104">
        <v>84.24</v>
      </c>
      <c r="E133" s="64" t="s">
        <v>268</v>
      </c>
      <c r="F133" s="26">
        <v>60</v>
      </c>
      <c r="G133" s="15">
        <v>124</v>
      </c>
      <c r="H133" s="21">
        <v>50</v>
      </c>
      <c r="I133" s="15">
        <v>58</v>
      </c>
      <c r="J133" s="104">
        <v>75.968</v>
      </c>
      <c r="K133" s="15">
        <v>130</v>
      </c>
      <c r="L133" s="21">
        <v>2.93</v>
      </c>
      <c r="M133" s="21">
        <v>480</v>
      </c>
      <c r="N133" s="105" t="s">
        <v>20</v>
      </c>
      <c r="O133" s="21" t="str">
        <f>_xlfn.DISPIMG("ID_B79446EAB54E4972BC45F86D067881D9",1)</f>
        <v>=DISPIMG("ID_B79446EAB54E4972BC45F86D067881D9",1)</v>
      </c>
      <c r="P133" s="21"/>
    </row>
    <row r="134" s="103" customFormat="1" ht="30" customHeight="1" spans="1:16">
      <c r="A134" s="21">
        <v>103</v>
      </c>
      <c r="B134" s="26">
        <v>21012040</v>
      </c>
      <c r="C134" s="26" t="s">
        <v>269</v>
      </c>
      <c r="D134" s="104">
        <v>83.31</v>
      </c>
      <c r="E134" s="64" t="s">
        <v>270</v>
      </c>
      <c r="F134" s="26">
        <v>62</v>
      </c>
      <c r="G134" s="15">
        <v>85</v>
      </c>
      <c r="H134" s="26">
        <v>50</v>
      </c>
      <c r="I134" s="15">
        <v>58</v>
      </c>
      <c r="J134" s="104">
        <v>75.717</v>
      </c>
      <c r="K134" s="15">
        <v>131</v>
      </c>
      <c r="L134" s="21">
        <v>2.86</v>
      </c>
      <c r="M134" s="26"/>
      <c r="N134" s="105" t="s">
        <v>27</v>
      </c>
      <c r="O134" s="17" t="str">
        <f>_xlfn.DISPIMG("ID_B59E3BB764504FCCA5BDB03D0B8EB06E",1)</f>
        <v>=DISPIMG("ID_B59E3BB764504FCCA5BDB03D0B8EB06E",1)</v>
      </c>
      <c r="P134" s="21"/>
    </row>
    <row r="135" s="103" customFormat="1" ht="30" customHeight="1" spans="1:16">
      <c r="A135" s="21">
        <v>47</v>
      </c>
      <c r="B135" s="21">
        <v>21012063</v>
      </c>
      <c r="C135" s="21" t="s">
        <v>271</v>
      </c>
      <c r="D135" s="104">
        <v>83.76</v>
      </c>
      <c r="E135" s="64" t="s">
        <v>272</v>
      </c>
      <c r="F135" s="26">
        <v>60</v>
      </c>
      <c r="G135" s="15">
        <v>124</v>
      </c>
      <c r="H135" s="21">
        <v>50</v>
      </c>
      <c r="I135" s="15">
        <v>58</v>
      </c>
      <c r="J135" s="104">
        <v>75.632</v>
      </c>
      <c r="K135" s="15">
        <v>132</v>
      </c>
      <c r="L135" s="21">
        <v>2.86</v>
      </c>
      <c r="M135" s="21">
        <v>480</v>
      </c>
      <c r="N135" s="105" t="s">
        <v>20</v>
      </c>
      <c r="O135" s="21" t="str">
        <f>_xlfn.DISPIMG("ID_1EB335992D8B4303B93B46744F3CB060",1)</f>
        <v>=DISPIMG("ID_1EB335992D8B4303B93B46744F3CB060",1)</v>
      </c>
      <c r="P135" s="21"/>
    </row>
    <row r="136" s="103" customFormat="1" ht="30" customHeight="1" spans="1:16">
      <c r="A136" s="21">
        <v>157</v>
      </c>
      <c r="B136" s="26">
        <v>21012155</v>
      </c>
      <c r="C136" s="26" t="s">
        <v>273</v>
      </c>
      <c r="D136" s="104">
        <v>82.59</v>
      </c>
      <c r="E136" s="64" t="s">
        <v>274</v>
      </c>
      <c r="F136" s="26">
        <v>64</v>
      </c>
      <c r="G136" s="15">
        <v>48</v>
      </c>
      <c r="H136" s="26">
        <v>50</v>
      </c>
      <c r="I136" s="15">
        <v>58</v>
      </c>
      <c r="J136" s="104">
        <v>75.613</v>
      </c>
      <c r="K136" s="15">
        <v>133</v>
      </c>
      <c r="L136" s="21">
        <v>2.84</v>
      </c>
      <c r="M136" s="26">
        <v>420</v>
      </c>
      <c r="N136" s="26" t="s">
        <v>20</v>
      </c>
      <c r="O136" s="17" t="str">
        <f>_xlfn.DISPIMG("ID_C438CF61CC024A2FA7E346CDF6E6B1F7",1)</f>
        <v>=DISPIMG("ID_C438CF61CC024A2FA7E346CDF6E6B1F7",1)</v>
      </c>
      <c r="P136" s="21"/>
    </row>
    <row r="137" s="103" customFormat="1" ht="30" customHeight="1" spans="1:16">
      <c r="A137" s="21">
        <v>33</v>
      </c>
      <c r="B137" s="26">
        <v>21012023</v>
      </c>
      <c r="C137" s="26" t="s">
        <v>275</v>
      </c>
      <c r="D137" s="104">
        <v>83.14</v>
      </c>
      <c r="E137" s="64" t="s">
        <v>276</v>
      </c>
      <c r="F137" s="26">
        <v>62</v>
      </c>
      <c r="G137" s="15">
        <v>85</v>
      </c>
      <c r="H137" s="26">
        <v>50</v>
      </c>
      <c r="I137" s="15">
        <v>58</v>
      </c>
      <c r="J137" s="104">
        <v>75.598</v>
      </c>
      <c r="K137" s="15">
        <v>134</v>
      </c>
      <c r="L137" s="21">
        <v>2.81</v>
      </c>
      <c r="M137" s="26">
        <v>456</v>
      </c>
      <c r="N137" s="26" t="s">
        <v>20</v>
      </c>
      <c r="O137" s="17" t="str">
        <f>_xlfn.DISPIMG("ID_215FB429F97C468D85633AA4B3028691",1)</f>
        <v>=DISPIMG("ID_215FB429F97C468D85633AA4B3028691",1)</v>
      </c>
      <c r="P137" s="26"/>
    </row>
    <row r="138" s="103" customFormat="1" ht="30" customHeight="1" spans="1:16">
      <c r="A138" s="21">
        <v>156</v>
      </c>
      <c r="B138" s="26">
        <v>21012149</v>
      </c>
      <c r="C138" s="26" t="s">
        <v>277</v>
      </c>
      <c r="D138" s="104">
        <v>82.52</v>
      </c>
      <c r="E138" s="64" t="s">
        <v>278</v>
      </c>
      <c r="F138" s="26">
        <v>64</v>
      </c>
      <c r="G138" s="15">
        <v>48</v>
      </c>
      <c r="H138" s="26">
        <v>50</v>
      </c>
      <c r="I138" s="15">
        <v>58</v>
      </c>
      <c r="J138" s="104">
        <v>75.564</v>
      </c>
      <c r="K138" s="15">
        <v>135</v>
      </c>
      <c r="L138" s="21">
        <v>2.78</v>
      </c>
      <c r="M138" s="26">
        <v>480</v>
      </c>
      <c r="N138" s="26" t="s">
        <v>27</v>
      </c>
      <c r="O138" s="17" t="str">
        <f>_xlfn.DISPIMG("ID_84EE5AD21811448BA820D0739FC980F6",1)</f>
        <v>=DISPIMG("ID_84EE5AD21811448BA820D0739FC980F6",1)</v>
      </c>
      <c r="P138" s="21"/>
    </row>
    <row r="139" s="103" customFormat="1" ht="30" customHeight="1" spans="1:16">
      <c r="A139" s="21">
        <v>56</v>
      </c>
      <c r="B139" s="21">
        <v>21012110</v>
      </c>
      <c r="C139" s="21" t="s">
        <v>279</v>
      </c>
      <c r="D139" s="104">
        <v>83.55</v>
      </c>
      <c r="E139" s="64" t="s">
        <v>280</v>
      </c>
      <c r="F139" s="26">
        <v>60</v>
      </c>
      <c r="G139" s="15">
        <v>124</v>
      </c>
      <c r="H139" s="21">
        <v>50</v>
      </c>
      <c r="I139" s="15">
        <v>58</v>
      </c>
      <c r="J139" s="104">
        <v>75.485</v>
      </c>
      <c r="K139" s="15">
        <v>136</v>
      </c>
      <c r="L139" s="21">
        <v>2.9</v>
      </c>
      <c r="M139" s="21">
        <v>440</v>
      </c>
      <c r="N139" s="105" t="s">
        <v>20</v>
      </c>
      <c r="O139" s="21" t="str">
        <f>_xlfn.DISPIMG("ID_E99B2987E4144CD8B632ECF912544A08",1)</f>
        <v>=DISPIMG("ID_E99B2987E4144CD8B632ECF912544A08",1)</v>
      </c>
      <c r="P139" s="21"/>
    </row>
    <row r="140" s="103" customFormat="1" ht="30" customHeight="1" spans="1:16">
      <c r="A140" s="21">
        <v>36</v>
      </c>
      <c r="B140" s="21">
        <v>21012010</v>
      </c>
      <c r="C140" s="21" t="s">
        <v>281</v>
      </c>
      <c r="D140" s="104">
        <v>83.31</v>
      </c>
      <c r="E140" s="64" t="s">
        <v>270</v>
      </c>
      <c r="F140" s="26">
        <v>60</v>
      </c>
      <c r="G140" s="15">
        <v>124</v>
      </c>
      <c r="H140" s="21">
        <v>50</v>
      </c>
      <c r="I140" s="15">
        <v>58</v>
      </c>
      <c r="J140" s="104">
        <v>75.317</v>
      </c>
      <c r="K140" s="15">
        <v>137</v>
      </c>
      <c r="L140" s="21">
        <v>2.93</v>
      </c>
      <c r="M140" s="21">
        <v>456</v>
      </c>
      <c r="N140" s="21" t="s">
        <v>20</v>
      </c>
      <c r="O140" s="21" t="str">
        <f>_xlfn.DISPIMG("ID_1806B7082D8147BE84DFEB0CB134926D",1)</f>
        <v>=DISPIMG("ID_1806B7082D8147BE84DFEB0CB134926D",1)</v>
      </c>
      <c r="P140" s="21"/>
    </row>
    <row r="141" s="103" customFormat="1" ht="30" customHeight="1" spans="1:16">
      <c r="A141" s="21">
        <v>105</v>
      </c>
      <c r="B141" s="26">
        <v>21012050</v>
      </c>
      <c r="C141" s="26" t="s">
        <v>282</v>
      </c>
      <c r="D141" s="104">
        <v>83.28</v>
      </c>
      <c r="E141" s="64" t="s">
        <v>283</v>
      </c>
      <c r="F141" s="26">
        <v>60</v>
      </c>
      <c r="G141" s="15">
        <v>124</v>
      </c>
      <c r="H141" s="26">
        <v>50</v>
      </c>
      <c r="I141" s="15">
        <v>58</v>
      </c>
      <c r="J141" s="104">
        <v>75.296</v>
      </c>
      <c r="K141" s="15">
        <v>138</v>
      </c>
      <c r="L141" s="21">
        <v>2.78</v>
      </c>
      <c r="M141" s="26">
        <v>475</v>
      </c>
      <c r="N141" s="105" t="s">
        <v>27</v>
      </c>
      <c r="O141" s="17" t="str">
        <f>_xlfn.DISPIMG("ID_7450C870FD8D4066BC3A8EEF5A09FD68",1)</f>
        <v>=DISPIMG("ID_7450C870FD8D4066BC3A8EEF5A09FD68",1)</v>
      </c>
      <c r="P141" s="21"/>
    </row>
    <row r="142" s="103" customFormat="1" ht="30" customHeight="1" spans="1:16">
      <c r="A142" s="21">
        <v>1</v>
      </c>
      <c r="B142" s="26">
        <v>21012003</v>
      </c>
      <c r="C142" s="26" t="s">
        <v>284</v>
      </c>
      <c r="D142" s="104">
        <v>82.93</v>
      </c>
      <c r="E142" s="64" t="s">
        <v>285</v>
      </c>
      <c r="F142" s="26">
        <v>60</v>
      </c>
      <c r="G142" s="15">
        <v>124</v>
      </c>
      <c r="H142" s="26">
        <v>50</v>
      </c>
      <c r="I142" s="15">
        <v>58</v>
      </c>
      <c r="J142" s="104">
        <v>75.051</v>
      </c>
      <c r="K142" s="15">
        <v>139</v>
      </c>
      <c r="L142" s="21">
        <v>2.83</v>
      </c>
      <c r="M142" s="26">
        <v>449</v>
      </c>
      <c r="N142" s="26" t="s">
        <v>20</v>
      </c>
      <c r="O142" s="17" t="str">
        <f>_xlfn.DISPIMG("ID_896B9B305CF24B5AA7BED551FA90A4A5",1)</f>
        <v>=DISPIMG("ID_896B9B305CF24B5AA7BED551FA90A4A5",1)</v>
      </c>
      <c r="P142" s="26"/>
    </row>
    <row r="143" s="103" customFormat="1" ht="30" customHeight="1" spans="1:16">
      <c r="A143" s="21">
        <v>77</v>
      </c>
      <c r="B143" s="21">
        <v>21012051</v>
      </c>
      <c r="C143" s="21" t="s">
        <v>286</v>
      </c>
      <c r="D143" s="104">
        <v>82.28</v>
      </c>
      <c r="E143" s="64" t="s">
        <v>287</v>
      </c>
      <c r="F143" s="21">
        <v>62</v>
      </c>
      <c r="G143" s="15">
        <v>85</v>
      </c>
      <c r="H143" s="21">
        <v>50</v>
      </c>
      <c r="I143" s="15">
        <v>58</v>
      </c>
      <c r="J143" s="104">
        <v>74.996</v>
      </c>
      <c r="K143" s="15">
        <v>140</v>
      </c>
      <c r="L143" s="21">
        <v>2.84</v>
      </c>
      <c r="M143" s="21">
        <v>417</v>
      </c>
      <c r="N143" s="21" t="s">
        <v>27</v>
      </c>
      <c r="O143" s="17" t="str">
        <f>_xlfn.DISPIMG("ID_E7220DA372464661B5784B088A17B5C1",1)</f>
        <v>=DISPIMG("ID_E7220DA372464661B5784B088A17B5C1",1)</v>
      </c>
      <c r="P143" s="21"/>
    </row>
    <row r="144" s="103" customFormat="1" ht="30" customHeight="1" spans="1:16">
      <c r="A144" s="21">
        <v>12</v>
      </c>
      <c r="B144" s="26">
        <v>21012033</v>
      </c>
      <c r="C144" s="26" t="s">
        <v>288</v>
      </c>
      <c r="D144" s="104">
        <v>82.66</v>
      </c>
      <c r="E144" s="64" t="s">
        <v>289</v>
      </c>
      <c r="F144" s="26">
        <v>60</v>
      </c>
      <c r="G144" s="15">
        <v>124</v>
      </c>
      <c r="H144" s="26">
        <v>50</v>
      </c>
      <c r="I144" s="15">
        <v>58</v>
      </c>
      <c r="J144" s="104">
        <v>74.862</v>
      </c>
      <c r="K144" s="15">
        <v>141</v>
      </c>
      <c r="L144" s="21">
        <v>2.86</v>
      </c>
      <c r="M144" s="26">
        <v>421</v>
      </c>
      <c r="N144" s="26" t="s">
        <v>20</v>
      </c>
      <c r="O144" s="17" t="str">
        <f>_xlfn.DISPIMG("ID_A3F66522628A404E81F03787679B656F",1)</f>
        <v>=DISPIMG("ID_A3F66522628A404E81F03787679B656F",1)</v>
      </c>
      <c r="P144" s="26"/>
    </row>
    <row r="145" s="103" customFormat="1" ht="30" customHeight="1" spans="1:16">
      <c r="A145" s="21">
        <v>65</v>
      </c>
      <c r="B145" s="21">
        <v>21012151</v>
      </c>
      <c r="C145" s="21" t="s">
        <v>290</v>
      </c>
      <c r="D145" s="104">
        <v>82</v>
      </c>
      <c r="E145" s="64" t="s">
        <v>291</v>
      </c>
      <c r="F145" s="26">
        <v>62</v>
      </c>
      <c r="G145" s="15">
        <v>85</v>
      </c>
      <c r="H145" s="21">
        <v>50</v>
      </c>
      <c r="I145" s="15">
        <v>58</v>
      </c>
      <c r="J145" s="104">
        <v>74.8</v>
      </c>
      <c r="K145" s="15">
        <v>142</v>
      </c>
      <c r="L145" s="21">
        <v>2.66</v>
      </c>
      <c r="M145" s="21">
        <v>533</v>
      </c>
      <c r="N145" s="105" t="s">
        <v>20</v>
      </c>
      <c r="O145" s="21" t="str">
        <f>_xlfn.DISPIMG("ID_B9F3E4E9C3E349AC8E956EA7E7A2C6D6",1)</f>
        <v>=DISPIMG("ID_B9F3E4E9C3E349AC8E956EA7E7A2C6D6",1)</v>
      </c>
      <c r="P145" s="21"/>
    </row>
    <row r="146" s="103" customFormat="1" ht="30" customHeight="1" spans="1:16">
      <c r="A146" s="21">
        <v>112</v>
      </c>
      <c r="B146" s="26">
        <v>21012094</v>
      </c>
      <c r="C146" s="26" t="s">
        <v>292</v>
      </c>
      <c r="D146" s="104">
        <v>75.9</v>
      </c>
      <c r="E146" s="64" t="s">
        <v>293</v>
      </c>
      <c r="F146" s="26">
        <v>64</v>
      </c>
      <c r="G146" s="15">
        <v>48</v>
      </c>
      <c r="H146" s="26">
        <v>77</v>
      </c>
      <c r="I146" s="15">
        <v>9</v>
      </c>
      <c r="J146" s="104">
        <v>73.63</v>
      </c>
      <c r="K146" s="15">
        <v>143</v>
      </c>
      <c r="L146" s="21">
        <v>2.6</v>
      </c>
      <c r="M146" s="26"/>
      <c r="N146" s="26"/>
      <c r="O146" s="17" t="str">
        <f>_xlfn.DISPIMG("ID_500ED8D9C99243A3AFCEBCFC46B75CC6",1)</f>
        <v>=DISPIMG("ID_500ED8D9C99243A3AFCEBCFC46B75CC6",1)</v>
      </c>
      <c r="P146" s="21"/>
    </row>
    <row r="147" s="103" customFormat="1" ht="30" customHeight="1" spans="1:16">
      <c r="A147" s="21">
        <v>125</v>
      </c>
      <c r="B147" s="26">
        <v>21012160</v>
      </c>
      <c r="C147" s="26" t="s">
        <v>294</v>
      </c>
      <c r="D147" s="104">
        <v>80.24</v>
      </c>
      <c r="E147" s="64" t="s">
        <v>295</v>
      </c>
      <c r="F147" s="26">
        <v>60</v>
      </c>
      <c r="G147" s="15">
        <v>124</v>
      </c>
      <c r="H147" s="26">
        <v>50</v>
      </c>
      <c r="I147" s="15">
        <v>58</v>
      </c>
      <c r="J147" s="104">
        <v>73.168</v>
      </c>
      <c r="K147" s="15">
        <v>144</v>
      </c>
      <c r="L147" s="21">
        <v>2.55</v>
      </c>
      <c r="M147" s="26">
        <v>452</v>
      </c>
      <c r="N147" s="105" t="s">
        <v>27</v>
      </c>
      <c r="O147" s="17" t="str">
        <f>_xlfn.DISPIMG("ID_8BCBBEDE58EB4BCDA47C8E43B9BBD399",1)</f>
        <v>=DISPIMG("ID_8BCBBEDE58EB4BCDA47C8E43B9BBD399",1)</v>
      </c>
      <c r="P147" s="21"/>
    </row>
    <row r="148" s="103" customFormat="1" ht="30" customHeight="1" spans="1:16">
      <c r="A148" s="21">
        <v>119</v>
      </c>
      <c r="B148" s="26">
        <v>21012115</v>
      </c>
      <c r="C148" s="26" t="s">
        <v>296</v>
      </c>
      <c r="D148" s="104">
        <v>79.59</v>
      </c>
      <c r="E148" s="64" t="s">
        <v>297</v>
      </c>
      <c r="F148" s="26">
        <v>62</v>
      </c>
      <c r="G148" s="15">
        <v>85</v>
      </c>
      <c r="H148" s="26">
        <v>50</v>
      </c>
      <c r="I148" s="15">
        <v>58</v>
      </c>
      <c r="J148" s="104">
        <v>73.113</v>
      </c>
      <c r="K148" s="15">
        <v>145</v>
      </c>
      <c r="L148" s="21">
        <v>2.48</v>
      </c>
      <c r="M148" s="26"/>
      <c r="N148" s="105" t="s">
        <v>27</v>
      </c>
      <c r="O148" s="17" t="str">
        <f>_xlfn.DISPIMG("ID_32B6224467F641CCA678F6D5ADB26DAA",1)</f>
        <v>=DISPIMG("ID_32B6224467F641CCA678F6D5ADB26DAA",1)</v>
      </c>
      <c r="P148" s="21"/>
    </row>
    <row r="149" s="103" customFormat="1" ht="30" customHeight="1" spans="1:16">
      <c r="A149" s="21">
        <v>118</v>
      </c>
      <c r="B149" s="26">
        <v>21012055</v>
      </c>
      <c r="C149" s="26" t="s">
        <v>298</v>
      </c>
      <c r="D149" s="104">
        <v>79.34</v>
      </c>
      <c r="E149" s="64" t="s">
        <v>299</v>
      </c>
      <c r="F149" s="26">
        <v>62</v>
      </c>
      <c r="G149" s="15">
        <v>85</v>
      </c>
      <c r="H149" s="26">
        <v>50</v>
      </c>
      <c r="I149" s="15">
        <v>58</v>
      </c>
      <c r="J149" s="104">
        <v>72.938</v>
      </c>
      <c r="K149" s="15">
        <v>146</v>
      </c>
      <c r="L149" s="21">
        <v>2.45</v>
      </c>
      <c r="M149" s="26">
        <v>438</v>
      </c>
      <c r="N149" s="105" t="s">
        <v>27</v>
      </c>
      <c r="O149" s="17" t="str">
        <f>_xlfn.DISPIMG("ID_05E1DA1505184721882936F8B2CF859E",1)</f>
        <v>=DISPIMG("ID_05E1DA1505184721882936F8B2CF859E",1)</v>
      </c>
      <c r="P149" s="21"/>
    </row>
    <row r="150" s="103" customFormat="1" ht="30" customHeight="1" spans="1:16">
      <c r="A150" s="21">
        <v>116</v>
      </c>
      <c r="B150" s="26">
        <v>21012119</v>
      </c>
      <c r="C150" s="26" t="s">
        <v>300</v>
      </c>
      <c r="D150" s="104">
        <v>79.62</v>
      </c>
      <c r="E150" s="64" t="s">
        <v>301</v>
      </c>
      <c r="F150" s="26">
        <v>60</v>
      </c>
      <c r="G150" s="15">
        <v>124</v>
      </c>
      <c r="H150" s="26">
        <v>50</v>
      </c>
      <c r="I150" s="15">
        <v>58</v>
      </c>
      <c r="J150" s="104">
        <v>72.734</v>
      </c>
      <c r="K150" s="15">
        <v>147</v>
      </c>
      <c r="L150" s="21">
        <v>2.55</v>
      </c>
      <c r="M150" s="26"/>
      <c r="N150" s="26"/>
      <c r="O150" s="17" t="str">
        <f>_xlfn.DISPIMG("ID_BBF7E13BF54F45FABF255710FA4537C1",1)</f>
        <v>=DISPIMG("ID_BBF7E13BF54F45FABF255710FA4537C1",1)</v>
      </c>
      <c r="P150" s="21"/>
    </row>
    <row r="151" s="103" customFormat="1" ht="30" customHeight="1" spans="1:16">
      <c r="A151" s="21">
        <v>38</v>
      </c>
      <c r="B151" s="21">
        <v>21012020</v>
      </c>
      <c r="C151" s="21" t="s">
        <v>302</v>
      </c>
      <c r="D151" s="104">
        <v>76.14</v>
      </c>
      <c r="E151" s="64" t="s">
        <v>303</v>
      </c>
      <c r="F151" s="26">
        <v>64</v>
      </c>
      <c r="G151" s="15">
        <v>48</v>
      </c>
      <c r="H151" s="21">
        <v>50</v>
      </c>
      <c r="I151" s="15">
        <v>58</v>
      </c>
      <c r="J151" s="104">
        <v>71.098</v>
      </c>
      <c r="K151" s="15">
        <v>148</v>
      </c>
      <c r="L151" s="21">
        <v>2.19</v>
      </c>
      <c r="M151" s="21">
        <v>427</v>
      </c>
      <c r="N151" s="105" t="s">
        <v>20</v>
      </c>
      <c r="O151" s="21" t="str">
        <f>_xlfn.DISPIMG("ID_6235E1B08C9B41CCBE6C040F1FF5CD05",1)</f>
        <v>=DISPIMG("ID_6235E1B08C9B41CCBE6C040F1FF5CD05",1)</v>
      </c>
      <c r="P151" s="21"/>
    </row>
    <row r="152" s="103" customFormat="1" ht="30" customHeight="1" spans="1:16">
      <c r="A152" s="21">
        <v>53</v>
      </c>
      <c r="B152" s="21">
        <v>21012091</v>
      </c>
      <c r="C152" s="21" t="s">
        <v>304</v>
      </c>
      <c r="D152" s="104">
        <v>75.41</v>
      </c>
      <c r="E152" s="64" t="s">
        <v>305</v>
      </c>
      <c r="F152" s="26">
        <v>62</v>
      </c>
      <c r="G152" s="15">
        <v>85</v>
      </c>
      <c r="H152" s="21">
        <v>50</v>
      </c>
      <c r="I152" s="15">
        <v>58</v>
      </c>
      <c r="J152" s="104">
        <v>70.187</v>
      </c>
      <c r="K152" s="15">
        <v>149</v>
      </c>
      <c r="L152" s="21">
        <v>2.05</v>
      </c>
      <c r="M152" s="21">
        <v>403</v>
      </c>
      <c r="N152" s="105" t="s">
        <v>20</v>
      </c>
      <c r="O152" s="21" t="str">
        <f>_xlfn.DISPIMG("ID_DF018BD97BD1475887204332FB53106D",1)</f>
        <v>=DISPIMG("ID_DF018BD97BD1475887204332FB53106D",1)</v>
      </c>
      <c r="P152" s="21"/>
    </row>
    <row r="153" s="103" customFormat="1" ht="30" customHeight="1" spans="1:16">
      <c r="A153" s="21">
        <v>104</v>
      </c>
      <c r="B153" s="26">
        <v>21012047</v>
      </c>
      <c r="C153" s="26" t="s">
        <v>306</v>
      </c>
      <c r="D153" s="104">
        <v>75.74</v>
      </c>
      <c r="E153" s="64" t="s">
        <v>307</v>
      </c>
      <c r="F153" s="26">
        <v>60</v>
      </c>
      <c r="G153" s="15">
        <v>124</v>
      </c>
      <c r="H153" s="26">
        <v>50</v>
      </c>
      <c r="I153" s="15">
        <v>58</v>
      </c>
      <c r="J153" s="104">
        <v>70.018</v>
      </c>
      <c r="K153" s="15">
        <v>150</v>
      </c>
      <c r="L153" s="21">
        <v>2.48</v>
      </c>
      <c r="M153" s="26"/>
      <c r="N153" s="26"/>
      <c r="O153" s="17" t="str">
        <f>_xlfn.DISPIMG("ID_DBF44D1DAE9E4AF08EE756ACCDB3D85A",1)</f>
        <v>=DISPIMG("ID_DBF44D1DAE9E4AF08EE756ACCDB3D85A",1)</v>
      </c>
      <c r="P153" s="21"/>
    </row>
    <row r="154" s="103" customFormat="1" ht="30" customHeight="1" spans="1:16">
      <c r="A154" s="21">
        <v>68</v>
      </c>
      <c r="B154" s="21">
        <v>21012009</v>
      </c>
      <c r="C154" s="21" t="s">
        <v>308</v>
      </c>
      <c r="D154" s="104">
        <v>74.89</v>
      </c>
      <c r="E154" s="64" t="s">
        <v>309</v>
      </c>
      <c r="F154" s="21">
        <v>60</v>
      </c>
      <c r="G154" s="15">
        <v>124</v>
      </c>
      <c r="H154" s="21">
        <v>50</v>
      </c>
      <c r="I154" s="15">
        <v>58</v>
      </c>
      <c r="J154" s="104">
        <v>69.423</v>
      </c>
      <c r="K154" s="15">
        <v>151</v>
      </c>
      <c r="L154" s="21">
        <v>2.76</v>
      </c>
      <c r="M154" s="21">
        <v>463</v>
      </c>
      <c r="N154" s="21" t="s">
        <v>27</v>
      </c>
      <c r="O154" s="17" t="str">
        <f>_xlfn.DISPIMG("ID_8E75258423904F978B8D295FA9150929",1)</f>
        <v>=DISPIMG("ID_8E75258423904F978B8D295FA9150929",1)</v>
      </c>
      <c r="P154" s="21"/>
    </row>
    <row r="155" s="103" customFormat="1" ht="30" customHeight="1" spans="1:16">
      <c r="A155" s="21">
        <v>55</v>
      </c>
      <c r="B155" s="21">
        <v>21012103</v>
      </c>
      <c r="C155" s="21" t="s">
        <v>310</v>
      </c>
      <c r="D155" s="104">
        <v>74.81</v>
      </c>
      <c r="E155" s="64" t="s">
        <v>311</v>
      </c>
      <c r="F155" s="26">
        <v>60</v>
      </c>
      <c r="G155" s="15">
        <v>124</v>
      </c>
      <c r="H155" s="21">
        <v>50</v>
      </c>
      <c r="I155" s="15">
        <v>58</v>
      </c>
      <c r="J155" s="104">
        <v>69.367</v>
      </c>
      <c r="K155" s="15">
        <v>152</v>
      </c>
      <c r="L155" s="21">
        <v>2.42</v>
      </c>
      <c r="M155" s="21">
        <v>398</v>
      </c>
      <c r="N155" s="105" t="s">
        <v>20</v>
      </c>
      <c r="O155" s="21" t="str">
        <f>_xlfn.DISPIMG("ID_AD5470C52AA14091948990355A69593B",1)</f>
        <v>=DISPIMG("ID_AD5470C52AA14091948990355A69593B",1)</v>
      </c>
      <c r="P155" s="21"/>
    </row>
    <row r="156" s="103" customFormat="1" ht="30" customHeight="1" spans="1:16">
      <c r="A156" s="21">
        <v>82</v>
      </c>
      <c r="B156" s="21">
        <v>21012081</v>
      </c>
      <c r="C156" s="26" t="s">
        <v>312</v>
      </c>
      <c r="D156" s="104">
        <v>72.55</v>
      </c>
      <c r="E156" s="64" t="s">
        <v>313</v>
      </c>
      <c r="F156" s="21">
        <v>62</v>
      </c>
      <c r="G156" s="15">
        <v>85</v>
      </c>
      <c r="H156" s="21">
        <v>50</v>
      </c>
      <c r="I156" s="15">
        <v>58</v>
      </c>
      <c r="J156" s="104">
        <v>68.185</v>
      </c>
      <c r="K156" s="15">
        <v>153</v>
      </c>
      <c r="L156" s="21">
        <v>2.89</v>
      </c>
      <c r="M156" s="21">
        <v>496</v>
      </c>
      <c r="N156" s="21" t="s">
        <v>27</v>
      </c>
      <c r="O156" s="17" t="str">
        <f>_xlfn.DISPIMG("ID_587A746376F5497886009B276B01E484",1)</f>
        <v>=DISPIMG("ID_587A746376F5497886009B276B01E484",1)</v>
      </c>
      <c r="P156" s="21"/>
    </row>
    <row r="157" s="103" customFormat="1" ht="30" customHeight="1" spans="1:16">
      <c r="A157" s="21">
        <v>81</v>
      </c>
      <c r="B157" s="21">
        <v>21012077</v>
      </c>
      <c r="C157" s="21" t="s">
        <v>314</v>
      </c>
      <c r="D157" s="104">
        <v>70.78</v>
      </c>
      <c r="E157" s="64" t="s">
        <v>315</v>
      </c>
      <c r="F157" s="21">
        <v>62</v>
      </c>
      <c r="G157" s="15">
        <v>85</v>
      </c>
      <c r="H157" s="21">
        <v>60</v>
      </c>
      <c r="I157" s="15">
        <v>21</v>
      </c>
      <c r="J157" s="104">
        <v>67.946</v>
      </c>
      <c r="K157" s="15">
        <v>154</v>
      </c>
      <c r="L157" s="21">
        <v>2.27</v>
      </c>
      <c r="M157" s="21">
        <v>407</v>
      </c>
      <c r="N157" s="21" t="s">
        <v>316</v>
      </c>
      <c r="O157" s="17" t="str">
        <f>_xlfn.DISPIMG("ID_FFC24DFD76BD47D1A1D7BC42BA0132F7",1)</f>
        <v>=DISPIMG("ID_FFC24DFD76BD47D1A1D7BC42BA0132F7",1)</v>
      </c>
      <c r="P157" s="21"/>
    </row>
    <row r="158" s="103" customFormat="1" ht="30" customHeight="1" spans="1:16">
      <c r="A158" s="21">
        <v>62</v>
      </c>
      <c r="B158" s="21">
        <v>21012135</v>
      </c>
      <c r="C158" s="21" t="s">
        <v>317</v>
      </c>
      <c r="D158" s="104">
        <v>72.41</v>
      </c>
      <c r="E158" s="64" t="s">
        <v>318</v>
      </c>
      <c r="F158" s="26">
        <v>60</v>
      </c>
      <c r="G158" s="15">
        <v>124</v>
      </c>
      <c r="H158" s="21">
        <v>50</v>
      </c>
      <c r="I158" s="15">
        <v>58</v>
      </c>
      <c r="J158" s="104">
        <v>67.687</v>
      </c>
      <c r="K158" s="15">
        <v>155</v>
      </c>
      <c r="L158" s="21">
        <v>1.98</v>
      </c>
      <c r="M158" s="21">
        <v>0</v>
      </c>
      <c r="N158" s="105" t="s">
        <v>319</v>
      </c>
      <c r="O158" s="21" t="str">
        <f>_xlfn.DISPIMG("ID_C3B09B3F0D2E4AD3AF93F3E438615792",1)</f>
        <v>=DISPIMG("ID_C3B09B3F0D2E4AD3AF93F3E438615792",1)</v>
      </c>
      <c r="P158" s="21"/>
    </row>
    <row r="159" s="103" customFormat="1" ht="30" customHeight="1" spans="1:16">
      <c r="A159" s="21">
        <v>58</v>
      </c>
      <c r="B159" s="21">
        <v>21012116</v>
      </c>
      <c r="C159" s="21" t="s">
        <v>320</v>
      </c>
      <c r="D159" s="104">
        <v>70.27</v>
      </c>
      <c r="E159" s="64" t="s">
        <v>321</v>
      </c>
      <c r="F159" s="26">
        <v>66</v>
      </c>
      <c r="G159" s="15">
        <v>36</v>
      </c>
      <c r="H159" s="21">
        <v>50</v>
      </c>
      <c r="I159" s="15">
        <v>58</v>
      </c>
      <c r="J159" s="104">
        <v>67.389</v>
      </c>
      <c r="K159" s="15">
        <v>156</v>
      </c>
      <c r="L159" s="21">
        <v>2.18</v>
      </c>
      <c r="M159" s="21">
        <v>454</v>
      </c>
      <c r="N159" s="105" t="s">
        <v>319</v>
      </c>
      <c r="O159" s="21" t="str">
        <f>_xlfn.DISPIMG("ID_9790C799FAB54665B999302CE258017E",1)</f>
        <v>=DISPIMG("ID_9790C799FAB54665B999302CE258017E",1)</v>
      </c>
      <c r="P159" s="21"/>
    </row>
    <row r="160" s="103" customFormat="1" ht="30" customHeight="1" spans="1:16">
      <c r="A160" s="21">
        <v>29</v>
      </c>
      <c r="B160" s="26">
        <v>21012147</v>
      </c>
      <c r="C160" s="26" t="s">
        <v>322</v>
      </c>
      <c r="D160" s="104">
        <v>66.94</v>
      </c>
      <c r="E160" s="64" t="s">
        <v>323</v>
      </c>
      <c r="F160" s="26">
        <v>62</v>
      </c>
      <c r="G160" s="15">
        <v>85</v>
      </c>
      <c r="H160" s="26">
        <v>50</v>
      </c>
      <c r="I160" s="15">
        <v>58</v>
      </c>
      <c r="J160" s="104">
        <v>64.258</v>
      </c>
      <c r="K160" s="15">
        <v>157</v>
      </c>
      <c r="L160" s="21">
        <v>1.89</v>
      </c>
      <c r="M160" s="26">
        <v>425</v>
      </c>
      <c r="N160" s="26" t="s">
        <v>319</v>
      </c>
      <c r="O160" s="17" t="str">
        <f>_xlfn.DISPIMG("ID_4E2DC036D9044AFCBCB953D14A90AA37",1)</f>
        <v>=DISPIMG("ID_4E2DC036D9044AFCBCB953D14A90AA37",1)</v>
      </c>
      <c r="P160" s="26"/>
    </row>
    <row r="161" ht="18" spans="1:16">
      <c r="A161" s="22"/>
      <c r="B161" s="24"/>
      <c r="C161" s="24"/>
      <c r="D161" s="24"/>
      <c r="E161" s="24"/>
      <c r="F161" s="24"/>
      <c r="G161" s="24"/>
      <c r="H161" s="110"/>
      <c r="I161" s="24"/>
      <c r="J161" s="24"/>
      <c r="K161" s="24"/>
      <c r="L161" s="12"/>
      <c r="M161" s="24"/>
      <c r="N161" s="22"/>
      <c r="O161" s="22"/>
      <c r="P161" s="22"/>
    </row>
    <row r="162" ht="18" spans="1:16">
      <c r="A162" s="22"/>
      <c r="B162" s="24"/>
      <c r="C162" s="24"/>
      <c r="D162" s="24"/>
      <c r="E162" s="24"/>
      <c r="F162" s="24"/>
      <c r="G162" s="24"/>
      <c r="H162" s="24"/>
      <c r="I162" s="24"/>
      <c r="J162" s="24"/>
      <c r="K162" s="24"/>
      <c r="L162" s="12"/>
      <c r="M162" s="24"/>
      <c r="N162" s="22"/>
      <c r="O162" s="22"/>
      <c r="P162" s="22"/>
    </row>
    <row r="163" ht="18" spans="1:16">
      <c r="A163" s="22"/>
      <c r="B163" s="24"/>
      <c r="C163" s="24"/>
      <c r="D163" s="24"/>
      <c r="E163" s="24"/>
      <c r="F163" s="24"/>
      <c r="G163" s="24"/>
      <c r="H163" s="110"/>
      <c r="I163" s="24"/>
      <c r="J163" s="24"/>
      <c r="K163" s="24"/>
      <c r="L163" s="12"/>
      <c r="M163" s="24"/>
      <c r="N163" s="22"/>
      <c r="O163" s="22"/>
      <c r="P163" s="22"/>
    </row>
    <row r="164" ht="18" spans="1:16">
      <c r="A164" s="22"/>
      <c r="B164" s="24"/>
      <c r="C164" s="24"/>
      <c r="D164" s="24"/>
      <c r="E164" s="24"/>
      <c r="F164" s="24"/>
      <c r="G164" s="24"/>
      <c r="H164" s="110"/>
      <c r="I164" s="24"/>
      <c r="J164" s="24"/>
      <c r="K164" s="24"/>
      <c r="L164" s="12"/>
      <c r="M164" s="24"/>
      <c r="N164" s="22"/>
      <c r="O164" s="22"/>
      <c r="P164" s="22"/>
    </row>
    <row r="165" ht="18" spans="1:16">
      <c r="A165" s="22"/>
      <c r="B165" s="24"/>
      <c r="C165" s="24"/>
      <c r="D165" s="24"/>
      <c r="E165" s="24"/>
      <c r="F165" s="24"/>
      <c r="G165" s="24"/>
      <c r="H165" s="110"/>
      <c r="I165" s="24"/>
      <c r="J165" s="24"/>
      <c r="K165" s="24"/>
      <c r="L165" s="12"/>
      <c r="M165" s="24"/>
      <c r="N165" s="22"/>
      <c r="O165" s="22"/>
      <c r="P165" s="22"/>
    </row>
    <row r="166" ht="18" spans="1:16">
      <c r="A166" s="22"/>
      <c r="B166" s="24"/>
      <c r="C166" s="24"/>
      <c r="D166" s="24"/>
      <c r="E166" s="24"/>
      <c r="F166" s="24"/>
      <c r="G166" s="24"/>
      <c r="H166" s="110"/>
      <c r="I166" s="24"/>
      <c r="J166" s="24"/>
      <c r="K166" s="24"/>
      <c r="L166" s="12"/>
      <c r="M166" s="24"/>
      <c r="N166" s="22"/>
      <c r="O166" s="22"/>
      <c r="P166" s="22"/>
    </row>
    <row r="167" ht="18" spans="1:16">
      <c r="A167" s="22"/>
      <c r="B167" s="24"/>
      <c r="C167" s="24"/>
      <c r="D167" s="24"/>
      <c r="E167" s="24"/>
      <c r="F167" s="24"/>
      <c r="G167" s="24"/>
      <c r="H167" s="110"/>
      <c r="I167" s="24"/>
      <c r="J167" s="24"/>
      <c r="K167" s="24"/>
      <c r="L167" s="12"/>
      <c r="M167" s="24"/>
      <c r="N167" s="22"/>
      <c r="O167" s="22"/>
      <c r="P167" s="22"/>
    </row>
    <row r="168" ht="18" spans="1:16">
      <c r="A168" s="22"/>
      <c r="B168" s="24"/>
      <c r="C168" s="24"/>
      <c r="D168" s="24"/>
      <c r="E168" s="24"/>
      <c r="F168" s="24"/>
      <c r="G168" s="24"/>
      <c r="H168" s="110"/>
      <c r="I168" s="24"/>
      <c r="J168" s="24"/>
      <c r="K168" s="24"/>
      <c r="L168" s="12"/>
      <c r="M168" s="24"/>
      <c r="N168" s="22"/>
      <c r="O168" s="22"/>
      <c r="P168" s="22"/>
    </row>
    <row r="169" ht="18" spans="1:16">
      <c r="A169" s="22"/>
      <c r="B169" s="24"/>
      <c r="C169" s="24"/>
      <c r="D169" s="24"/>
      <c r="E169" s="24"/>
      <c r="F169" s="24"/>
      <c r="G169" s="24"/>
      <c r="H169" s="110"/>
      <c r="I169" s="24"/>
      <c r="J169" s="24"/>
      <c r="K169" s="24"/>
      <c r="L169" s="12"/>
      <c r="M169" s="24"/>
      <c r="N169" s="22"/>
      <c r="O169" s="22"/>
      <c r="P169" s="22"/>
    </row>
    <row r="170" ht="18" spans="1:16">
      <c r="A170" s="22"/>
      <c r="B170" s="24"/>
      <c r="C170" s="24"/>
      <c r="D170" s="24"/>
      <c r="E170" s="24"/>
      <c r="F170" s="24"/>
      <c r="G170" s="24"/>
      <c r="H170" s="110"/>
      <c r="I170" s="24"/>
      <c r="J170" s="24"/>
      <c r="K170" s="24"/>
      <c r="L170" s="12"/>
      <c r="M170" s="24"/>
      <c r="N170" s="22"/>
      <c r="O170" s="22"/>
      <c r="P170" s="22"/>
    </row>
    <row r="171" ht="18" spans="1:16">
      <c r="A171" s="22"/>
      <c r="B171" s="24"/>
      <c r="C171" s="24"/>
      <c r="D171" s="24"/>
      <c r="E171" s="24"/>
      <c r="F171" s="24"/>
      <c r="G171" s="24"/>
      <c r="H171" s="110"/>
      <c r="I171" s="24"/>
      <c r="J171" s="24"/>
      <c r="K171" s="24"/>
      <c r="L171" s="12"/>
      <c r="M171" s="24"/>
      <c r="N171" s="22"/>
      <c r="O171" s="22"/>
      <c r="P171" s="22"/>
    </row>
    <row r="172" ht="18" spans="1:16">
      <c r="A172" s="22"/>
      <c r="B172" s="24"/>
      <c r="C172" s="24"/>
      <c r="D172" s="24"/>
      <c r="E172" s="24"/>
      <c r="F172" s="24"/>
      <c r="G172" s="24"/>
      <c r="H172" s="110"/>
      <c r="I172" s="24"/>
      <c r="J172" s="24"/>
      <c r="K172" s="24"/>
      <c r="L172" s="12"/>
      <c r="M172" s="24"/>
      <c r="N172" s="22"/>
      <c r="O172" s="22"/>
      <c r="P172" s="22"/>
    </row>
    <row r="173" ht="18" spans="1:16">
      <c r="A173" s="22"/>
      <c r="B173" s="24"/>
      <c r="C173" s="24"/>
      <c r="D173" s="24"/>
      <c r="E173" s="24"/>
      <c r="F173" s="24"/>
      <c r="G173" s="24"/>
      <c r="H173" s="110"/>
      <c r="I173" s="24"/>
      <c r="J173" s="24"/>
      <c r="K173" s="24"/>
      <c r="L173" s="12"/>
      <c r="M173" s="24"/>
      <c r="N173" s="22"/>
      <c r="O173" s="22"/>
      <c r="P173" s="22"/>
    </row>
    <row r="174" ht="18" spans="1:16">
      <c r="A174" s="22"/>
      <c r="B174" s="24"/>
      <c r="C174" s="24"/>
      <c r="D174" s="24"/>
      <c r="E174" s="24"/>
      <c r="F174" s="24"/>
      <c r="G174" s="24"/>
      <c r="H174" s="110"/>
      <c r="I174" s="24"/>
      <c r="J174" s="24"/>
      <c r="K174" s="24"/>
      <c r="L174" s="12"/>
      <c r="M174" s="24"/>
      <c r="N174" s="22"/>
      <c r="O174" s="22"/>
      <c r="P174" s="22"/>
    </row>
    <row r="175" ht="18" spans="1:16">
      <c r="A175" s="22"/>
      <c r="B175" s="24"/>
      <c r="C175" s="24"/>
      <c r="D175" s="24"/>
      <c r="E175" s="24"/>
      <c r="F175" s="24"/>
      <c r="G175" s="24"/>
      <c r="H175" s="110"/>
      <c r="I175" s="24"/>
      <c r="J175" s="24"/>
      <c r="K175" s="24"/>
      <c r="L175" s="12"/>
      <c r="M175" s="24"/>
      <c r="N175" s="22"/>
      <c r="O175" s="22"/>
      <c r="P175" s="22"/>
    </row>
    <row r="176" ht="18" spans="1:16">
      <c r="A176" s="22"/>
      <c r="B176" s="24"/>
      <c r="C176" s="24"/>
      <c r="D176" s="24"/>
      <c r="E176" s="24"/>
      <c r="F176" s="24"/>
      <c r="G176" s="24"/>
      <c r="H176" s="110"/>
      <c r="I176" s="24"/>
      <c r="J176" s="24"/>
      <c r="K176" s="24"/>
      <c r="L176" s="12"/>
      <c r="M176" s="24"/>
      <c r="N176" s="22"/>
      <c r="O176" s="22"/>
      <c r="P176" s="22"/>
    </row>
    <row r="177" ht="18" spans="1:16">
      <c r="A177" s="22"/>
      <c r="B177" s="24"/>
      <c r="C177" s="24"/>
      <c r="D177" s="24"/>
      <c r="E177" s="24"/>
      <c r="F177" s="24"/>
      <c r="G177" s="24"/>
      <c r="H177" s="110"/>
      <c r="I177" s="24"/>
      <c r="J177" s="24"/>
      <c r="K177" s="24"/>
      <c r="L177" s="12"/>
      <c r="M177" s="24"/>
      <c r="N177" s="22"/>
      <c r="O177" s="22"/>
      <c r="P177" s="22"/>
    </row>
    <row r="178" ht="18" spans="1:16">
      <c r="A178" s="22"/>
      <c r="B178" s="24"/>
      <c r="C178" s="24"/>
      <c r="D178" s="24"/>
      <c r="E178" s="24"/>
      <c r="F178" s="24"/>
      <c r="G178" s="24"/>
      <c r="H178" s="110"/>
      <c r="I178" s="24"/>
      <c r="J178" s="24"/>
      <c r="K178" s="24"/>
      <c r="L178" s="12"/>
      <c r="M178" s="24"/>
      <c r="N178" s="22"/>
      <c r="O178" s="22"/>
      <c r="P178" s="22"/>
    </row>
    <row r="179" ht="18" spans="1:16">
      <c r="A179" s="22"/>
      <c r="B179" s="24"/>
      <c r="C179" s="24"/>
      <c r="D179" s="24"/>
      <c r="E179" s="24"/>
      <c r="F179" s="24"/>
      <c r="G179" s="24"/>
      <c r="H179" s="110"/>
      <c r="I179" s="24"/>
      <c r="J179" s="24"/>
      <c r="K179" s="24"/>
      <c r="L179" s="12"/>
      <c r="M179" s="24"/>
      <c r="N179" s="22"/>
      <c r="O179" s="22"/>
      <c r="P179" s="22"/>
    </row>
    <row r="180" ht="18" spans="1:16">
      <c r="A180" s="22"/>
      <c r="B180" s="24"/>
      <c r="C180" s="24"/>
      <c r="D180" s="24"/>
      <c r="E180" s="24"/>
      <c r="F180" s="24"/>
      <c r="G180" s="24"/>
      <c r="H180" s="110"/>
      <c r="I180" s="24"/>
      <c r="J180" s="24"/>
      <c r="K180" s="24"/>
      <c r="L180" s="12"/>
      <c r="M180" s="24"/>
      <c r="N180" s="22"/>
      <c r="O180" s="22"/>
      <c r="P180" s="22"/>
    </row>
    <row r="181" ht="18" spans="1:16">
      <c r="A181" s="22"/>
      <c r="B181" s="24"/>
      <c r="C181" s="24"/>
      <c r="D181" s="24"/>
      <c r="E181" s="24"/>
      <c r="F181" s="24"/>
      <c r="G181" s="24"/>
      <c r="H181" s="110"/>
      <c r="I181" s="24"/>
      <c r="J181" s="24"/>
      <c r="K181" s="24"/>
      <c r="L181" s="12"/>
      <c r="M181" s="24"/>
      <c r="N181" s="22"/>
      <c r="O181" s="22"/>
      <c r="P181" s="22"/>
    </row>
    <row r="182" ht="18" spans="1:16">
      <c r="A182" s="22"/>
      <c r="B182" s="24"/>
      <c r="C182" s="24"/>
      <c r="D182" s="24"/>
      <c r="E182" s="24"/>
      <c r="F182" s="24"/>
      <c r="G182" s="24"/>
      <c r="H182" s="110"/>
      <c r="I182" s="24"/>
      <c r="J182" s="24"/>
      <c r="K182" s="24"/>
      <c r="L182" s="12"/>
      <c r="M182" s="24"/>
      <c r="N182" s="22"/>
      <c r="O182" s="22"/>
      <c r="P182" s="22"/>
    </row>
    <row r="183" ht="18" spans="1:16">
      <c r="A183" s="22"/>
      <c r="B183" s="24"/>
      <c r="C183" s="24"/>
      <c r="D183" s="24"/>
      <c r="E183" s="24"/>
      <c r="F183" s="24"/>
      <c r="G183" s="24"/>
      <c r="H183" s="110"/>
      <c r="I183" s="24"/>
      <c r="J183" s="24"/>
      <c r="K183" s="24"/>
      <c r="L183" s="12"/>
      <c r="M183" s="24"/>
      <c r="N183" s="22"/>
      <c r="O183" s="22"/>
      <c r="P183" s="22"/>
    </row>
    <row r="184" ht="18" spans="1:16">
      <c r="A184" s="22"/>
      <c r="B184" s="24"/>
      <c r="C184" s="24"/>
      <c r="D184" s="24"/>
      <c r="E184" s="24"/>
      <c r="F184" s="24"/>
      <c r="G184" s="24"/>
      <c r="H184" s="110"/>
      <c r="I184" s="24"/>
      <c r="J184" s="24"/>
      <c r="K184" s="24"/>
      <c r="L184" s="12"/>
      <c r="M184" s="24"/>
      <c r="N184" s="22"/>
      <c r="O184" s="22"/>
      <c r="P184" s="22"/>
    </row>
    <row r="185" ht="18" spans="1:16">
      <c r="A185" s="22"/>
      <c r="B185" s="24"/>
      <c r="C185" s="24"/>
      <c r="D185" s="24"/>
      <c r="E185" s="24"/>
      <c r="F185" s="24"/>
      <c r="G185" s="24"/>
      <c r="H185" s="110"/>
      <c r="I185" s="24"/>
      <c r="J185" s="24"/>
      <c r="K185" s="24"/>
      <c r="L185" s="12"/>
      <c r="M185" s="24"/>
      <c r="N185" s="22"/>
      <c r="O185" s="22"/>
      <c r="P185" s="22"/>
    </row>
    <row r="186" ht="18" spans="1:16">
      <c r="A186" s="22"/>
      <c r="B186" s="24"/>
      <c r="C186" s="24"/>
      <c r="D186" s="24"/>
      <c r="E186" s="24"/>
      <c r="F186" s="24"/>
      <c r="G186" s="24"/>
      <c r="H186" s="110"/>
      <c r="I186" s="24"/>
      <c r="J186" s="24"/>
      <c r="K186" s="24"/>
      <c r="L186" s="12"/>
      <c r="M186" s="24"/>
      <c r="N186" s="22"/>
      <c r="O186" s="22"/>
      <c r="P186" s="22"/>
    </row>
    <row r="187" ht="18" spans="1:16">
      <c r="A187" s="22"/>
      <c r="B187" s="24"/>
      <c r="C187" s="24"/>
      <c r="D187" s="24"/>
      <c r="E187" s="24"/>
      <c r="F187" s="24"/>
      <c r="G187" s="24"/>
      <c r="H187" s="110"/>
      <c r="I187" s="24"/>
      <c r="J187" s="24"/>
      <c r="K187" s="24"/>
      <c r="L187" s="12"/>
      <c r="M187" s="24"/>
      <c r="N187" s="22"/>
      <c r="O187" s="22"/>
      <c r="P187" s="22"/>
    </row>
    <row r="188" ht="18" spans="1:16">
      <c r="A188" s="22"/>
      <c r="B188" s="24"/>
      <c r="C188" s="24"/>
      <c r="D188" s="24"/>
      <c r="E188" s="24"/>
      <c r="F188" s="24"/>
      <c r="G188" s="24"/>
      <c r="H188" s="110"/>
      <c r="I188" s="24"/>
      <c r="J188" s="24"/>
      <c r="K188" s="24"/>
      <c r="L188" s="12"/>
      <c r="M188" s="24"/>
      <c r="N188" s="22"/>
      <c r="O188" s="22"/>
      <c r="P188" s="22"/>
    </row>
    <row r="189" ht="18" spans="1:16">
      <c r="A189" s="22"/>
      <c r="B189" s="24"/>
      <c r="C189" s="24"/>
      <c r="D189" s="24"/>
      <c r="E189" s="24"/>
      <c r="F189" s="24"/>
      <c r="G189" s="24"/>
      <c r="H189" s="110"/>
      <c r="I189" s="24"/>
      <c r="J189" s="24"/>
      <c r="K189" s="24"/>
      <c r="L189" s="12"/>
      <c r="M189" s="24"/>
      <c r="N189" s="22"/>
      <c r="O189" s="22"/>
      <c r="P189" s="22"/>
    </row>
    <row r="190" ht="18" spans="1:16">
      <c r="A190" s="22"/>
      <c r="B190" s="24"/>
      <c r="C190" s="24"/>
      <c r="D190" s="24"/>
      <c r="E190" s="24"/>
      <c r="F190" s="24"/>
      <c r="G190" s="24"/>
      <c r="H190" s="110"/>
      <c r="I190" s="24"/>
      <c r="J190" s="24"/>
      <c r="K190" s="24"/>
      <c r="L190" s="12"/>
      <c r="M190" s="24"/>
      <c r="N190" s="22"/>
      <c r="O190" s="22"/>
      <c r="P190" s="22"/>
    </row>
  </sheetData>
  <mergeCells count="2">
    <mergeCell ref="A1:P1"/>
    <mergeCell ref="A2:D2"/>
  </mergeCells>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160"/>
  <sheetViews>
    <sheetView workbookViewId="0">
      <selection activeCell="A3" sqref="$A3:$XFD3"/>
    </sheetView>
  </sheetViews>
  <sheetFormatPr defaultColWidth="9" defaultRowHeight="22.5"/>
  <cols>
    <col min="1" max="1" width="9" style="2"/>
    <col min="2" max="2" width="11.7777777777778" style="2" customWidth="1"/>
    <col min="3" max="3" width="12.3333333333333" style="54" customWidth="1"/>
    <col min="4" max="4" width="32.8888888888889" style="55" customWidth="1"/>
    <col min="5" max="5" width="9" style="2"/>
    <col min="6" max="6" width="9.22222222222222" style="3" customWidth="1"/>
    <col min="7" max="7" width="14.1111111111111" style="2" customWidth="1"/>
    <col min="8" max="8" width="15.8" style="3" customWidth="1"/>
    <col min="9" max="9" width="72.8" style="3" customWidth="1"/>
    <col min="10" max="11" width="9" style="3"/>
    <col min="12" max="12" width="5.6" style="3" customWidth="1"/>
    <col min="13" max="13" width="7" style="3" customWidth="1"/>
    <col min="14" max="16384" width="9" style="3"/>
  </cols>
  <sheetData>
    <row r="1" ht="22.7" customHeight="1" spans="1:15">
      <c r="A1" s="4" t="s">
        <v>324</v>
      </c>
      <c r="B1" s="4"/>
      <c r="C1" s="56"/>
      <c r="D1" s="57"/>
      <c r="E1" s="4"/>
      <c r="F1" s="4"/>
      <c r="G1" s="4"/>
      <c r="H1" s="4"/>
      <c r="I1" s="4"/>
      <c r="J1" s="4"/>
      <c r="K1" s="4"/>
      <c r="L1" s="4"/>
      <c r="M1" s="4"/>
      <c r="N1" s="4"/>
      <c r="O1" s="4"/>
    </row>
    <row r="2" ht="18.4" customHeight="1" spans="1:15">
      <c r="A2" s="5" t="s">
        <v>1</v>
      </c>
      <c r="B2" s="5"/>
      <c r="C2" s="5"/>
      <c r="D2" s="58"/>
      <c r="E2" s="6"/>
      <c r="F2" s="59"/>
      <c r="G2" s="6"/>
      <c r="H2" s="59"/>
      <c r="I2" s="59"/>
      <c r="J2" s="59"/>
      <c r="K2" s="59"/>
      <c r="L2" s="59"/>
      <c r="M2" s="59"/>
      <c r="N2" s="59"/>
      <c r="O2" s="59"/>
    </row>
    <row r="3" ht="36.85" customHeight="1" spans="1:15">
      <c r="A3" s="7" t="s">
        <v>2</v>
      </c>
      <c r="B3" s="7" t="s">
        <v>3</v>
      </c>
      <c r="C3" s="7" t="s">
        <v>4</v>
      </c>
      <c r="D3" s="60" t="s">
        <v>325</v>
      </c>
      <c r="E3" s="7" t="s">
        <v>326</v>
      </c>
      <c r="F3" s="14" t="s">
        <v>327</v>
      </c>
      <c r="G3" s="8" t="s">
        <v>328</v>
      </c>
      <c r="H3" s="14" t="s">
        <v>329</v>
      </c>
      <c r="I3" s="72" t="s">
        <v>330</v>
      </c>
      <c r="J3" s="73"/>
      <c r="K3" s="73"/>
      <c r="L3" s="73"/>
      <c r="M3" s="74"/>
      <c r="N3" s="14" t="s">
        <v>16</v>
      </c>
      <c r="O3" s="14" t="s">
        <v>17</v>
      </c>
    </row>
    <row r="4" ht="30" customHeight="1" spans="1:15">
      <c r="A4" s="9">
        <v>1</v>
      </c>
      <c r="B4" s="9">
        <v>21012003</v>
      </c>
      <c r="C4" s="9" t="s">
        <v>284</v>
      </c>
      <c r="D4" s="61">
        <v>82.93</v>
      </c>
      <c r="E4" s="9">
        <v>0</v>
      </c>
      <c r="F4" s="62">
        <v>82.93</v>
      </c>
      <c r="G4" s="63">
        <f>F4*0.7</f>
        <v>58.051</v>
      </c>
      <c r="H4" s="64" t="s">
        <v>285</v>
      </c>
      <c r="I4" s="75"/>
      <c r="J4" s="76"/>
      <c r="K4" s="76"/>
      <c r="L4" s="76"/>
      <c r="M4" s="77"/>
      <c r="N4" s="17" t="str">
        <f>_xlfn.DISPIMG("ID_896B9B305CF24B5AA7BED551FA90A4A5",1)</f>
        <v>=DISPIMG("ID_896B9B305CF24B5AA7BED551FA90A4A5",1)</v>
      </c>
      <c r="O4" s="16"/>
    </row>
    <row r="5" ht="30" customHeight="1" spans="1:15">
      <c r="A5" s="9">
        <v>2</v>
      </c>
      <c r="B5" s="9">
        <v>21009001</v>
      </c>
      <c r="C5" s="9" t="s">
        <v>192</v>
      </c>
      <c r="D5" s="61">
        <v>87.87</v>
      </c>
      <c r="E5" s="9">
        <v>0</v>
      </c>
      <c r="F5" s="62">
        <v>87.87</v>
      </c>
      <c r="G5" s="63">
        <f t="shared" ref="G5:G36" si="0">F5*0.7</f>
        <v>61.509</v>
      </c>
      <c r="H5" s="64" t="s">
        <v>193</v>
      </c>
      <c r="I5" s="75"/>
      <c r="J5" s="76"/>
      <c r="K5" s="76"/>
      <c r="L5" s="76"/>
      <c r="M5" s="77"/>
      <c r="N5" s="16" t="str">
        <f>_xlfn.DISPIMG("ID_A0ED9F92782A4B2083F7E7270BBF994B",1)</f>
        <v>=DISPIMG("ID_A0ED9F92782A4B2083F7E7270BBF994B",1)</v>
      </c>
      <c r="O5" s="16"/>
    </row>
    <row r="6" ht="30" customHeight="1" spans="1:15">
      <c r="A6" s="9">
        <v>3</v>
      </c>
      <c r="B6" s="9">
        <v>21012088</v>
      </c>
      <c r="C6" s="9" t="s">
        <v>259</v>
      </c>
      <c r="D6" s="61">
        <v>79.58</v>
      </c>
      <c r="E6" s="9">
        <v>2</v>
      </c>
      <c r="F6" s="62">
        <v>81.58</v>
      </c>
      <c r="G6" s="63">
        <f t="shared" si="0"/>
        <v>57.106</v>
      </c>
      <c r="H6" s="64" t="s">
        <v>260</v>
      </c>
      <c r="I6" s="78" t="s">
        <v>331</v>
      </c>
      <c r="J6" s="79"/>
      <c r="K6" s="79"/>
      <c r="L6" s="79"/>
      <c r="M6" s="80"/>
      <c r="N6" s="17" t="str">
        <f>_xlfn.DISPIMG("ID_F3BED46223DC482097C96DA3EEC66E4A",1)</f>
        <v>=DISPIMG("ID_F3BED46223DC482097C96DA3EEC66E4A",1)</v>
      </c>
      <c r="O6" s="16"/>
    </row>
    <row r="7" ht="30" customHeight="1" spans="1:15">
      <c r="A7" s="9">
        <v>4</v>
      </c>
      <c r="B7" s="9">
        <v>20015058</v>
      </c>
      <c r="C7" s="9" t="s">
        <v>196</v>
      </c>
      <c r="D7" s="61">
        <v>87.71</v>
      </c>
      <c r="E7" s="9">
        <v>0</v>
      </c>
      <c r="F7" s="62">
        <v>87.71</v>
      </c>
      <c r="G7" s="63">
        <f t="shared" si="0"/>
        <v>61.397</v>
      </c>
      <c r="H7" s="64" t="s">
        <v>197</v>
      </c>
      <c r="I7" s="75"/>
      <c r="J7" s="76"/>
      <c r="K7" s="76"/>
      <c r="L7" s="76"/>
      <c r="M7" s="77"/>
      <c r="N7" s="17" t="str">
        <f>_xlfn.DISPIMG("ID_9E29C34F5F0C4983BEA18F93222BD755",1)</f>
        <v>=DISPIMG("ID_9E29C34F5F0C4983BEA18F93222BD755",1)</v>
      </c>
      <c r="O7" s="16"/>
    </row>
    <row r="8" ht="30" customHeight="1" spans="1:15">
      <c r="A8" s="9">
        <v>5</v>
      </c>
      <c r="B8" s="9">
        <v>21012012</v>
      </c>
      <c r="C8" s="9" t="s">
        <v>156</v>
      </c>
      <c r="D8" s="61">
        <v>86.14</v>
      </c>
      <c r="E8" s="9">
        <v>3</v>
      </c>
      <c r="F8" s="62">
        <v>89.14</v>
      </c>
      <c r="G8" s="63">
        <f t="shared" si="0"/>
        <v>62.398</v>
      </c>
      <c r="H8" s="64" t="s">
        <v>157</v>
      </c>
      <c r="I8" s="78" t="s">
        <v>332</v>
      </c>
      <c r="J8" s="79"/>
      <c r="K8" s="79"/>
      <c r="L8" s="79"/>
      <c r="M8" s="80"/>
      <c r="N8" s="17" t="str">
        <f>_xlfn.DISPIMG("ID_0C839F862A664C029963589E7E4794FF",1)</f>
        <v>=DISPIMG("ID_0C839F862A664C029963589E7E4794FF",1)</v>
      </c>
      <c r="O8" s="16"/>
    </row>
    <row r="9" ht="30" customHeight="1" spans="1:15">
      <c r="A9" s="9">
        <v>6</v>
      </c>
      <c r="B9" s="9">
        <v>21012053</v>
      </c>
      <c r="C9" s="9" t="s">
        <v>232</v>
      </c>
      <c r="D9" s="61">
        <v>86.41</v>
      </c>
      <c r="E9" s="9">
        <v>0</v>
      </c>
      <c r="F9" s="62">
        <v>86.41</v>
      </c>
      <c r="G9" s="63">
        <f t="shared" si="0"/>
        <v>60.487</v>
      </c>
      <c r="H9" s="64" t="s">
        <v>233</v>
      </c>
      <c r="I9" s="75"/>
      <c r="J9" s="76"/>
      <c r="K9" s="76"/>
      <c r="L9" s="76"/>
      <c r="M9" s="77"/>
      <c r="N9" s="17" t="str">
        <f>_xlfn.DISPIMG("ID_81E7EAB4B5BA4F6184E3D0BBA150608D",1)</f>
        <v>=DISPIMG("ID_81E7EAB4B5BA4F6184E3D0BBA150608D",1)</v>
      </c>
      <c r="O9" s="16"/>
    </row>
    <row r="10" s="1" customFormat="1" ht="30" customHeight="1" spans="1:15">
      <c r="A10" s="9">
        <v>7</v>
      </c>
      <c r="B10" s="10">
        <v>21012079</v>
      </c>
      <c r="C10" s="10" t="s">
        <v>174</v>
      </c>
      <c r="D10" s="61">
        <v>86.59</v>
      </c>
      <c r="E10" s="10">
        <v>0.67</v>
      </c>
      <c r="F10" s="62">
        <v>87.26</v>
      </c>
      <c r="G10" s="63">
        <f t="shared" si="0"/>
        <v>61.082</v>
      </c>
      <c r="H10" s="64" t="s">
        <v>175</v>
      </c>
      <c r="I10" s="81" t="s">
        <v>333</v>
      </c>
      <c r="J10" s="82"/>
      <c r="K10" s="82"/>
      <c r="L10" s="82"/>
      <c r="M10" s="83"/>
      <c r="N10" s="17" t="str">
        <f>_xlfn.DISPIMG("ID_87D21CDCA16E44118DE941A6434849DD",1)</f>
        <v>=DISPIMG("ID_87D21CDCA16E44118DE941A6434849DD",1)</v>
      </c>
      <c r="O10" s="19"/>
    </row>
    <row r="11" ht="30" customHeight="1" spans="1:15">
      <c r="A11" s="9">
        <v>8</v>
      </c>
      <c r="B11" s="9">
        <v>21012101</v>
      </c>
      <c r="C11" s="9" t="s">
        <v>219</v>
      </c>
      <c r="D11" s="61">
        <v>86.83</v>
      </c>
      <c r="E11" s="9">
        <v>0</v>
      </c>
      <c r="F11" s="62">
        <v>86.83</v>
      </c>
      <c r="G11" s="63">
        <f t="shared" si="0"/>
        <v>60.781</v>
      </c>
      <c r="H11" s="64" t="s">
        <v>220</v>
      </c>
      <c r="I11" s="75"/>
      <c r="J11" s="76"/>
      <c r="K11" s="76"/>
      <c r="L11" s="76"/>
      <c r="M11" s="77"/>
      <c r="N11" s="17" t="str">
        <f>_xlfn.DISPIMG("ID_1735D640A5DA49EE8F64060DB78884E5",1)</f>
        <v>=DISPIMG("ID_1735D640A5DA49EE8F64060DB78884E5",1)</v>
      </c>
      <c r="O11" s="16"/>
    </row>
    <row r="12" ht="30" customHeight="1" spans="1:15">
      <c r="A12" s="9">
        <v>9</v>
      </c>
      <c r="B12" s="9">
        <v>21012128</v>
      </c>
      <c r="C12" s="9" t="s">
        <v>141</v>
      </c>
      <c r="D12" s="61">
        <v>87.97</v>
      </c>
      <c r="E12" s="9">
        <v>0.3</v>
      </c>
      <c r="F12" s="62">
        <v>88.27</v>
      </c>
      <c r="G12" s="63">
        <f t="shared" si="0"/>
        <v>61.789</v>
      </c>
      <c r="H12" s="64" t="s">
        <v>142</v>
      </c>
      <c r="I12" s="75" t="s">
        <v>334</v>
      </c>
      <c r="J12" s="76"/>
      <c r="K12" s="76"/>
      <c r="L12" s="76"/>
      <c r="M12" s="77"/>
      <c r="N12" s="17" t="str">
        <f>_xlfn.DISPIMG("ID_5372E853EC7A45ECB1232CC24068C45D",1)</f>
        <v>=DISPIMG("ID_5372E853EC7A45ECB1232CC24068C45D",1)</v>
      </c>
      <c r="O12" s="16"/>
    </row>
    <row r="13" s="1" customFormat="1" ht="30" customHeight="1" spans="1:15">
      <c r="A13" s="9">
        <v>10</v>
      </c>
      <c r="B13" s="10">
        <v>21012102</v>
      </c>
      <c r="C13" s="10" t="s">
        <v>78</v>
      </c>
      <c r="D13" s="61">
        <v>83.93</v>
      </c>
      <c r="E13" s="10">
        <v>10</v>
      </c>
      <c r="F13" s="62">
        <v>93.93</v>
      </c>
      <c r="G13" s="63">
        <f t="shared" si="0"/>
        <v>65.751</v>
      </c>
      <c r="H13" s="64" t="s">
        <v>79</v>
      </c>
      <c r="I13" s="84" t="s">
        <v>335</v>
      </c>
      <c r="J13" s="85"/>
      <c r="K13" s="85"/>
      <c r="L13" s="85"/>
      <c r="M13" s="86"/>
      <c r="N13" s="17" t="str">
        <f>_xlfn.DISPIMG("ID_F9B1C80F5F334639B3AE9CD29B656ABC",1)</f>
        <v>=DISPIMG("ID_F9B1C80F5F334639B3AE9CD29B656ABC",1)</v>
      </c>
      <c r="O13" s="19"/>
    </row>
    <row r="14" ht="30" customHeight="1" spans="1:15">
      <c r="A14" s="9">
        <v>11</v>
      </c>
      <c r="B14" s="9">
        <v>21012093</v>
      </c>
      <c r="C14" s="9" t="s">
        <v>238</v>
      </c>
      <c r="D14" s="61">
        <v>85.9</v>
      </c>
      <c r="E14" s="9">
        <v>0</v>
      </c>
      <c r="F14" s="62">
        <v>85.9</v>
      </c>
      <c r="G14" s="63">
        <f t="shared" si="0"/>
        <v>60.13</v>
      </c>
      <c r="H14" s="64" t="s">
        <v>239</v>
      </c>
      <c r="I14" s="75"/>
      <c r="J14" s="76"/>
      <c r="K14" s="76"/>
      <c r="L14" s="76"/>
      <c r="M14" s="77"/>
      <c r="N14" s="17" t="str">
        <f>_xlfn.DISPIMG("ID_91E52A1D90904F4DBBA2995715A7F88D",1)</f>
        <v>=DISPIMG("ID_91E52A1D90904F4DBBA2995715A7F88D",1)</v>
      </c>
      <c r="O14" s="16"/>
    </row>
    <row r="15" ht="30" customHeight="1" spans="1:15">
      <c r="A15" s="9">
        <v>12</v>
      </c>
      <c r="B15" s="9">
        <v>21012033</v>
      </c>
      <c r="C15" s="9" t="s">
        <v>288</v>
      </c>
      <c r="D15" s="61">
        <v>82.66</v>
      </c>
      <c r="E15" s="9">
        <v>0</v>
      </c>
      <c r="F15" s="62">
        <v>82.66</v>
      </c>
      <c r="G15" s="63">
        <f t="shared" si="0"/>
        <v>57.862</v>
      </c>
      <c r="H15" s="64" t="s">
        <v>289</v>
      </c>
      <c r="I15" s="75"/>
      <c r="J15" s="76"/>
      <c r="K15" s="76"/>
      <c r="L15" s="76"/>
      <c r="M15" s="77"/>
      <c r="N15" s="17" t="str">
        <f>_xlfn.DISPIMG("ID_A3F66522628A404E81F03787679B656F",1)</f>
        <v>=DISPIMG("ID_A3F66522628A404E81F03787679B656F",1)</v>
      </c>
      <c r="O15" s="16"/>
    </row>
    <row r="16" ht="30" customHeight="1" spans="1:15">
      <c r="A16" s="9">
        <v>13</v>
      </c>
      <c r="B16" s="9">
        <v>21012154</v>
      </c>
      <c r="C16" s="9" t="s">
        <v>158</v>
      </c>
      <c r="D16" s="61">
        <v>89.14</v>
      </c>
      <c r="E16" s="9">
        <v>0</v>
      </c>
      <c r="F16" s="62">
        <v>89.14</v>
      </c>
      <c r="G16" s="63">
        <f t="shared" si="0"/>
        <v>62.398</v>
      </c>
      <c r="H16" s="64" t="s">
        <v>157</v>
      </c>
      <c r="I16" s="75"/>
      <c r="J16" s="76"/>
      <c r="K16" s="76"/>
      <c r="L16" s="76"/>
      <c r="M16" s="77"/>
      <c r="N16" s="17" t="str">
        <f>_xlfn.DISPIMG("ID_1605796E3E1A48B38CC389A4767902B1",1)</f>
        <v>=DISPIMG("ID_1605796E3E1A48B38CC389A4767902B1",1)</v>
      </c>
      <c r="O16" s="16"/>
    </row>
    <row r="17" ht="30" customHeight="1" spans="1:15">
      <c r="A17" s="9">
        <v>14</v>
      </c>
      <c r="B17" s="9">
        <v>21012001</v>
      </c>
      <c r="C17" s="9" t="s">
        <v>86</v>
      </c>
      <c r="D17" s="61">
        <v>88.55</v>
      </c>
      <c r="E17" s="9">
        <v>1</v>
      </c>
      <c r="F17" s="62">
        <v>89.55</v>
      </c>
      <c r="G17" s="63">
        <f t="shared" si="0"/>
        <v>62.685</v>
      </c>
      <c r="H17" s="64" t="s">
        <v>87</v>
      </c>
      <c r="I17" s="75" t="s">
        <v>336</v>
      </c>
      <c r="J17" s="76"/>
      <c r="K17" s="76"/>
      <c r="L17" s="76"/>
      <c r="M17" s="77"/>
      <c r="N17" s="17" t="str">
        <f>_xlfn.DISPIMG("ID_97ACCF2C812546D78854E9CC80109562",1)</f>
        <v>=DISPIMG("ID_97ACCF2C812546D78854E9CC80109562",1)</v>
      </c>
      <c r="O17" s="16"/>
    </row>
    <row r="18" ht="30" customHeight="1" spans="1:15">
      <c r="A18" s="9">
        <v>15</v>
      </c>
      <c r="B18" s="9">
        <v>21012096</v>
      </c>
      <c r="C18" s="9" t="s">
        <v>215</v>
      </c>
      <c r="D18" s="61">
        <v>85.66</v>
      </c>
      <c r="E18" s="9">
        <v>0</v>
      </c>
      <c r="F18" s="62">
        <v>85.66</v>
      </c>
      <c r="G18" s="63">
        <f t="shared" si="0"/>
        <v>59.962</v>
      </c>
      <c r="H18" s="64" t="s">
        <v>216</v>
      </c>
      <c r="I18" s="75"/>
      <c r="J18" s="76"/>
      <c r="K18" s="76"/>
      <c r="L18" s="76"/>
      <c r="M18" s="77"/>
      <c r="N18" s="16" t="str">
        <f>_xlfn.DISPIMG("ID_D6D1C95FA72545CDB236760FA3BB4993",1)</f>
        <v>=DISPIMG("ID_D6D1C95FA72545CDB236760FA3BB4993",1)</v>
      </c>
      <c r="O18" s="16"/>
    </row>
    <row r="19" ht="30" customHeight="1" spans="1:15">
      <c r="A19" s="9">
        <v>16</v>
      </c>
      <c r="B19" s="9">
        <v>21012054</v>
      </c>
      <c r="C19" s="9" t="s">
        <v>198</v>
      </c>
      <c r="D19" s="61">
        <v>87.69</v>
      </c>
      <c r="E19" s="9">
        <v>0</v>
      </c>
      <c r="F19" s="62">
        <v>87.69</v>
      </c>
      <c r="G19" s="63">
        <f t="shared" si="0"/>
        <v>61.383</v>
      </c>
      <c r="H19" s="64" t="s">
        <v>134</v>
      </c>
      <c r="I19" s="75"/>
      <c r="J19" s="76"/>
      <c r="K19" s="76"/>
      <c r="L19" s="76"/>
      <c r="M19" s="77"/>
      <c r="N19" s="16" t="str">
        <f>_xlfn.DISPIMG("ID_CB9124AFDCD8499AA7C8DA3C0B4E92EC",1)</f>
        <v>=DISPIMG("ID_CB9124AFDCD8499AA7C8DA3C0B4E92EC",1)</v>
      </c>
      <c r="O19" s="16"/>
    </row>
    <row r="20" ht="30" customHeight="1" spans="1:15">
      <c r="A20" s="9">
        <v>17</v>
      </c>
      <c r="B20" s="9">
        <v>21012131</v>
      </c>
      <c r="C20" s="9" t="s">
        <v>90</v>
      </c>
      <c r="D20" s="61">
        <v>91.45</v>
      </c>
      <c r="E20" s="9">
        <v>0</v>
      </c>
      <c r="F20" s="62">
        <v>91.45</v>
      </c>
      <c r="G20" s="63">
        <f t="shared" si="0"/>
        <v>64.015</v>
      </c>
      <c r="H20" s="64" t="s">
        <v>91</v>
      </c>
      <c r="I20" s="75"/>
      <c r="J20" s="76"/>
      <c r="K20" s="76"/>
      <c r="L20" s="76"/>
      <c r="M20" s="77"/>
      <c r="N20" s="17" t="str">
        <f>_xlfn.DISPIMG("ID_FD4B1C87DA8E42BDA81BD5E38279DBE6",1)</f>
        <v>=DISPIMG("ID_FD4B1C87DA8E42BDA81BD5E38279DBE6",1)</v>
      </c>
      <c r="O20" s="16"/>
    </row>
    <row r="21" ht="30" customHeight="1" spans="1:15">
      <c r="A21" s="9">
        <v>18</v>
      </c>
      <c r="B21" s="9">
        <v>21012143</v>
      </c>
      <c r="C21" s="9" t="s">
        <v>113</v>
      </c>
      <c r="D21" s="61">
        <v>88.93</v>
      </c>
      <c r="E21" s="9">
        <v>0.5</v>
      </c>
      <c r="F21" s="62">
        <v>89.43</v>
      </c>
      <c r="G21" s="63">
        <f t="shared" si="0"/>
        <v>62.601</v>
      </c>
      <c r="H21" s="64" t="s">
        <v>114</v>
      </c>
      <c r="I21" s="78" t="s">
        <v>337</v>
      </c>
      <c r="J21" s="79"/>
      <c r="K21" s="79"/>
      <c r="L21" s="79"/>
      <c r="M21" s="80"/>
      <c r="N21" s="17" t="str">
        <f>_xlfn.DISPIMG("ID_BAEB1F49AB0D4522A452FE114611C02A",1)</f>
        <v>=DISPIMG("ID_BAEB1F49AB0D4522A452FE114611C02A",1)</v>
      </c>
      <c r="O21" s="16"/>
    </row>
    <row r="22" ht="30" customHeight="1" spans="1:15">
      <c r="A22" s="9">
        <v>19</v>
      </c>
      <c r="B22" s="9">
        <v>21012078</v>
      </c>
      <c r="C22" s="9" t="s">
        <v>167</v>
      </c>
      <c r="D22" s="61">
        <v>88.34</v>
      </c>
      <c r="E22" s="9">
        <v>0</v>
      </c>
      <c r="F22" s="62">
        <v>88.34</v>
      </c>
      <c r="G22" s="63">
        <f t="shared" si="0"/>
        <v>61.838</v>
      </c>
      <c r="H22" s="64" t="s">
        <v>168</v>
      </c>
      <c r="I22" s="75"/>
      <c r="J22" s="76"/>
      <c r="K22" s="76"/>
      <c r="L22" s="76"/>
      <c r="M22" s="77"/>
      <c r="N22" s="17" t="str">
        <f>_xlfn.DISPIMG("ID_2C4D2DA37134483AA3780C4F791F8EB2",1)</f>
        <v>=DISPIMG("ID_2C4D2DA37134483AA3780C4F791F8EB2",1)</v>
      </c>
      <c r="O22" s="16"/>
    </row>
    <row r="23" ht="30" customHeight="1" spans="1:15">
      <c r="A23" s="9">
        <v>20</v>
      </c>
      <c r="B23" s="9">
        <v>21012113</v>
      </c>
      <c r="C23" s="9" t="s">
        <v>178</v>
      </c>
      <c r="D23" s="61">
        <v>87.55</v>
      </c>
      <c r="E23" s="9">
        <v>0</v>
      </c>
      <c r="F23" s="62">
        <v>87.55</v>
      </c>
      <c r="G23" s="63">
        <f t="shared" si="0"/>
        <v>61.285</v>
      </c>
      <c r="H23" s="64" t="s">
        <v>166</v>
      </c>
      <c r="I23" s="75"/>
      <c r="J23" s="76"/>
      <c r="K23" s="76"/>
      <c r="L23" s="76"/>
      <c r="M23" s="77"/>
      <c r="N23" s="17" t="str">
        <f>_xlfn.DISPIMG("ID_D84BBA745712481AA8F0E26A934F5C81",1)</f>
        <v>=DISPIMG("ID_D84BBA745712481AA8F0E26A934F5C81",1)</v>
      </c>
      <c r="O23" s="16"/>
    </row>
    <row r="24" s="1" customFormat="1" ht="30" customHeight="1" spans="1:15">
      <c r="A24" s="9">
        <v>21</v>
      </c>
      <c r="B24" s="10">
        <v>20002033</v>
      </c>
      <c r="C24" s="10" t="s">
        <v>105</v>
      </c>
      <c r="D24" s="61">
        <v>89.81</v>
      </c>
      <c r="E24" s="10">
        <v>2.5</v>
      </c>
      <c r="F24" s="62">
        <v>92.31</v>
      </c>
      <c r="G24" s="63">
        <f t="shared" si="0"/>
        <v>64.617</v>
      </c>
      <c r="H24" s="64" t="s">
        <v>106</v>
      </c>
      <c r="I24" s="84" t="s">
        <v>338</v>
      </c>
      <c r="J24" s="85"/>
      <c r="K24" s="85"/>
      <c r="L24" s="85"/>
      <c r="M24" s="86"/>
      <c r="N24" s="17" t="str">
        <f>_xlfn.DISPIMG("ID_08B050D2775D49F4A8F3C98C29DD1DDA",1)</f>
        <v>=DISPIMG("ID_08B050D2775D49F4A8F3C98C29DD1DDA",1)</v>
      </c>
      <c r="O24" s="19"/>
    </row>
    <row r="25" ht="30" customHeight="1" spans="1:15">
      <c r="A25" s="9">
        <v>22</v>
      </c>
      <c r="B25" s="9">
        <v>21012142</v>
      </c>
      <c r="C25" s="9" t="s">
        <v>188</v>
      </c>
      <c r="D25" s="61">
        <v>86.97</v>
      </c>
      <c r="E25" s="9">
        <v>0</v>
      </c>
      <c r="F25" s="62">
        <v>86.97</v>
      </c>
      <c r="G25" s="63">
        <f t="shared" si="0"/>
        <v>60.879</v>
      </c>
      <c r="H25" s="64" t="s">
        <v>189</v>
      </c>
      <c r="I25" s="75"/>
      <c r="J25" s="76"/>
      <c r="K25" s="76"/>
      <c r="L25" s="76"/>
      <c r="M25" s="77"/>
      <c r="N25" s="17" t="str">
        <f>_xlfn.DISPIMG("ID_42144FEB54594847A617F6CEF997C8DD",1)</f>
        <v>=DISPIMG("ID_42144FEB54594847A617F6CEF997C8DD",1)</v>
      </c>
      <c r="O25" s="16"/>
    </row>
    <row r="26" ht="30" customHeight="1" spans="1:15">
      <c r="A26" s="9">
        <v>23</v>
      </c>
      <c r="B26" s="9">
        <v>21012127</v>
      </c>
      <c r="C26" s="9" t="s">
        <v>92</v>
      </c>
      <c r="D26" s="61">
        <v>90.45</v>
      </c>
      <c r="E26" s="9">
        <v>2.67</v>
      </c>
      <c r="F26" s="62">
        <v>93.12</v>
      </c>
      <c r="G26" s="63">
        <f t="shared" si="0"/>
        <v>65.184</v>
      </c>
      <c r="H26" s="64" t="s">
        <v>93</v>
      </c>
      <c r="I26" s="78" t="s">
        <v>339</v>
      </c>
      <c r="J26" s="79"/>
      <c r="K26" s="79"/>
      <c r="L26" s="79"/>
      <c r="M26" s="80"/>
      <c r="N26" s="17" t="str">
        <f>_xlfn.DISPIMG("ID_BA61EB51BBFE4035B680B7197EFE732F",1)</f>
        <v>=DISPIMG("ID_BA61EB51BBFE4035B680B7197EFE732F",1)</v>
      </c>
      <c r="O26" s="16"/>
    </row>
    <row r="27" ht="30" customHeight="1" spans="1:15">
      <c r="A27" s="9">
        <v>24</v>
      </c>
      <c r="B27" s="9">
        <v>21012064</v>
      </c>
      <c r="C27" s="9" t="s">
        <v>70</v>
      </c>
      <c r="D27" s="61">
        <v>88.72</v>
      </c>
      <c r="E27" s="9">
        <v>5.5</v>
      </c>
      <c r="F27" s="62">
        <v>94.22</v>
      </c>
      <c r="G27" s="63">
        <f t="shared" si="0"/>
        <v>65.954</v>
      </c>
      <c r="H27" s="64" t="s">
        <v>71</v>
      </c>
      <c r="I27" s="78" t="s">
        <v>340</v>
      </c>
      <c r="J27" s="79"/>
      <c r="K27" s="79"/>
      <c r="L27" s="79"/>
      <c r="M27" s="80"/>
      <c r="N27" s="3" t="str">
        <f>_xlfn.DISPIMG("ID_951F67A02B174399BD38EFD4516794BC",1)</f>
        <v>=DISPIMG("ID_951F67A02B174399BD38EFD4516794BC",1)</v>
      </c>
      <c r="O27" s="16"/>
    </row>
    <row r="28" ht="30" customHeight="1" spans="1:15">
      <c r="A28" s="9">
        <v>25</v>
      </c>
      <c r="B28" s="65">
        <v>21012044</v>
      </c>
      <c r="C28" s="11" t="s">
        <v>96</v>
      </c>
      <c r="D28" s="61">
        <v>84.83</v>
      </c>
      <c r="E28" s="65">
        <v>0.3</v>
      </c>
      <c r="F28" s="62">
        <v>85.13</v>
      </c>
      <c r="G28" s="63">
        <f t="shared" si="0"/>
        <v>59.591</v>
      </c>
      <c r="H28" s="64" t="s">
        <v>97</v>
      </c>
      <c r="I28" s="75" t="s">
        <v>334</v>
      </c>
      <c r="J28" s="76"/>
      <c r="K28" s="76"/>
      <c r="L28" s="76"/>
      <c r="M28" s="77"/>
      <c r="N28" s="3" t="str">
        <f>_xlfn.DISPIMG("ID_769524B6DABE4FE3A0282D1FD4132F44",1)</f>
        <v>=DISPIMG("ID_769524B6DABE4FE3A0282D1FD4132F44",1)</v>
      </c>
      <c r="O28" s="16"/>
    </row>
    <row r="29" ht="30" customHeight="1" spans="1:15">
      <c r="A29" s="9">
        <v>26</v>
      </c>
      <c r="B29" s="9">
        <v>21012043</v>
      </c>
      <c r="C29" s="9" t="s">
        <v>68</v>
      </c>
      <c r="D29" s="61">
        <v>89.62</v>
      </c>
      <c r="E29" s="9">
        <v>3</v>
      </c>
      <c r="F29" s="62">
        <v>92.62</v>
      </c>
      <c r="G29" s="63">
        <f t="shared" si="0"/>
        <v>64.834</v>
      </c>
      <c r="H29" s="64" t="s">
        <v>69</v>
      </c>
      <c r="I29" s="78" t="s">
        <v>341</v>
      </c>
      <c r="J29" s="79"/>
      <c r="K29" s="79"/>
      <c r="L29" s="79"/>
      <c r="M29" s="80"/>
      <c r="N29" s="17" t="str">
        <f>_xlfn.DISPIMG("ID_B6E45280C125487B8175108FCF9CCE47",1)</f>
        <v>=DISPIMG("ID_B6E45280C125487B8175108FCF9CCE47",1)</v>
      </c>
      <c r="O29" s="16"/>
    </row>
    <row r="30" ht="30" customHeight="1" spans="1:15">
      <c r="A30" s="9">
        <v>27</v>
      </c>
      <c r="B30" s="9">
        <v>21012011</v>
      </c>
      <c r="C30" s="9" t="s">
        <v>147</v>
      </c>
      <c r="D30" s="61">
        <v>88.76</v>
      </c>
      <c r="E30" s="9">
        <v>0</v>
      </c>
      <c r="F30" s="62">
        <v>88.76</v>
      </c>
      <c r="G30" s="63">
        <f t="shared" si="0"/>
        <v>62.132</v>
      </c>
      <c r="H30" s="64" t="s">
        <v>148</v>
      </c>
      <c r="I30" s="75"/>
      <c r="J30" s="76"/>
      <c r="K30" s="76"/>
      <c r="L30" s="76"/>
      <c r="M30" s="77"/>
      <c r="N30" s="17" t="str">
        <f>_xlfn.DISPIMG("ID_AB5F1EF44D434A53AF212CD00EDFCA9B",1)</f>
        <v>=DISPIMG("ID_AB5F1EF44D434A53AF212CD00EDFCA9B",1)</v>
      </c>
      <c r="O30" s="16"/>
    </row>
    <row r="31" s="1" customFormat="1" ht="30" customHeight="1" spans="1:15">
      <c r="A31" s="9">
        <v>28</v>
      </c>
      <c r="B31" s="10">
        <v>21012022</v>
      </c>
      <c r="C31" s="10" t="s">
        <v>121</v>
      </c>
      <c r="D31" s="61">
        <v>89.07</v>
      </c>
      <c r="E31" s="10">
        <v>1.5</v>
      </c>
      <c r="F31" s="66">
        <v>90.57</v>
      </c>
      <c r="G31" s="67">
        <f t="shared" si="0"/>
        <v>63.399</v>
      </c>
      <c r="H31" s="64" t="s">
        <v>122</v>
      </c>
      <c r="I31" s="84" t="s">
        <v>342</v>
      </c>
      <c r="J31" s="85"/>
      <c r="K31" s="85"/>
      <c r="L31" s="85"/>
      <c r="M31" s="86"/>
      <c r="N31" s="17" t="str">
        <f>_xlfn.DISPIMG("ID_0CFE9FC8DA1E4AB8A6762270EF8A4E82",1)</f>
        <v>=DISPIMG("ID_0CFE9FC8DA1E4AB8A6762270EF8A4E82",1)</v>
      </c>
      <c r="O31" s="19"/>
    </row>
    <row r="32" ht="30" customHeight="1" spans="1:15">
      <c r="A32" s="9">
        <v>29</v>
      </c>
      <c r="B32" s="9">
        <v>21012147</v>
      </c>
      <c r="C32" s="9" t="s">
        <v>322</v>
      </c>
      <c r="D32" s="61">
        <v>66.94</v>
      </c>
      <c r="E32" s="9">
        <v>0</v>
      </c>
      <c r="F32" s="62">
        <v>66.94</v>
      </c>
      <c r="G32" s="63">
        <f t="shared" si="0"/>
        <v>46.858</v>
      </c>
      <c r="H32" s="64" t="s">
        <v>323</v>
      </c>
      <c r="I32" s="75"/>
      <c r="J32" s="76"/>
      <c r="K32" s="76"/>
      <c r="L32" s="76"/>
      <c r="M32" s="77"/>
      <c r="N32" s="17" t="str">
        <f>_xlfn.DISPIMG("ID_4E2DC036D9044AFCBCB953D14A90AA37",1)</f>
        <v>=DISPIMG("ID_4E2DC036D9044AFCBCB953D14A90AA37",1)</v>
      </c>
      <c r="O32" s="16"/>
    </row>
    <row r="33" ht="30" customHeight="1" spans="1:15">
      <c r="A33" s="9">
        <v>30</v>
      </c>
      <c r="B33" s="9">
        <v>21012114</v>
      </c>
      <c r="C33" s="9" t="s">
        <v>223</v>
      </c>
      <c r="D33" s="61">
        <v>85.66</v>
      </c>
      <c r="E33" s="9">
        <v>0.5</v>
      </c>
      <c r="F33" s="62">
        <v>86.16</v>
      </c>
      <c r="G33" s="63">
        <f t="shared" si="0"/>
        <v>60.312</v>
      </c>
      <c r="H33" s="64" t="s">
        <v>224</v>
      </c>
      <c r="I33" s="75" t="s">
        <v>343</v>
      </c>
      <c r="J33" s="76"/>
      <c r="K33" s="76"/>
      <c r="L33" s="76"/>
      <c r="M33" s="77"/>
      <c r="N33" s="17" t="str">
        <f>_xlfn.DISPIMG("ID_8EF37FF9D508494CA9352F36F92A123C",1)</f>
        <v>=DISPIMG("ID_8EF37FF9D508494CA9352F36F92A123C",1)</v>
      </c>
      <c r="O33" s="16"/>
    </row>
    <row r="34" ht="30" customHeight="1" spans="1:15">
      <c r="A34" s="9">
        <v>31</v>
      </c>
      <c r="B34" s="9">
        <v>21012159</v>
      </c>
      <c r="C34" s="9" t="s">
        <v>165</v>
      </c>
      <c r="D34" s="61">
        <v>87.55</v>
      </c>
      <c r="E34" s="9">
        <v>0</v>
      </c>
      <c r="F34" s="62">
        <v>87.55</v>
      </c>
      <c r="G34" s="63">
        <f t="shared" si="0"/>
        <v>61.285</v>
      </c>
      <c r="H34" s="64" t="s">
        <v>166</v>
      </c>
      <c r="I34" s="75"/>
      <c r="J34" s="76"/>
      <c r="K34" s="76"/>
      <c r="L34" s="76"/>
      <c r="M34" s="77"/>
      <c r="N34" s="17" t="str">
        <f>_xlfn.DISPIMG("ID_5DC7A3FC9B64436E96D912B12BD95C99",1)</f>
        <v>=DISPIMG("ID_5DC7A3FC9B64436E96D912B12BD95C99",1)</v>
      </c>
      <c r="O34" s="16"/>
    </row>
    <row r="35" ht="30" customHeight="1" spans="1:15">
      <c r="A35" s="9">
        <v>32</v>
      </c>
      <c r="B35" s="9">
        <v>21012032</v>
      </c>
      <c r="C35" s="9" t="s">
        <v>252</v>
      </c>
      <c r="D35" s="61">
        <v>80.79</v>
      </c>
      <c r="E35" s="9">
        <v>2</v>
      </c>
      <c r="F35" s="62">
        <v>82.79</v>
      </c>
      <c r="G35" s="63">
        <f t="shared" si="0"/>
        <v>57.953</v>
      </c>
      <c r="H35" s="64" t="s">
        <v>253</v>
      </c>
      <c r="I35" s="75" t="s">
        <v>344</v>
      </c>
      <c r="J35" s="76"/>
      <c r="K35" s="76"/>
      <c r="L35" s="76"/>
      <c r="M35" s="77"/>
      <c r="N35" s="17" t="str">
        <f>_xlfn.DISPIMG("ID_C63C45AC8545441FA9AA27465EE8F066",1)</f>
        <v>=DISPIMG("ID_C63C45AC8545441FA9AA27465EE8F066",1)</v>
      </c>
      <c r="O35" s="16"/>
    </row>
    <row r="36" ht="30" customHeight="1" spans="1:15">
      <c r="A36" s="9">
        <v>33</v>
      </c>
      <c r="B36" s="9">
        <v>21012023</v>
      </c>
      <c r="C36" s="9" t="s">
        <v>275</v>
      </c>
      <c r="D36" s="61">
        <v>83.14</v>
      </c>
      <c r="E36" s="9">
        <v>0</v>
      </c>
      <c r="F36" s="62">
        <v>83.14</v>
      </c>
      <c r="G36" s="63">
        <f t="shared" si="0"/>
        <v>58.198</v>
      </c>
      <c r="H36" s="64" t="s">
        <v>276</v>
      </c>
      <c r="I36" s="87"/>
      <c r="J36" s="87"/>
      <c r="K36" s="87"/>
      <c r="L36" s="87"/>
      <c r="M36" s="87"/>
      <c r="N36" s="17" t="str">
        <f>_xlfn.DISPIMG("ID_215FB429F97C468D85633AA4B3028691",1)</f>
        <v>=DISPIMG("ID_215FB429F97C468D85633AA4B3028691",1)</v>
      </c>
      <c r="O36" s="16"/>
    </row>
    <row r="37" ht="30" customHeight="1" spans="1:15">
      <c r="A37" s="9">
        <v>34</v>
      </c>
      <c r="B37" s="9">
        <v>21012089</v>
      </c>
      <c r="C37" s="9" t="s">
        <v>151</v>
      </c>
      <c r="D37" s="61">
        <v>85.02</v>
      </c>
      <c r="E37" s="9">
        <v>0.5</v>
      </c>
      <c r="F37" s="62">
        <v>85.52</v>
      </c>
      <c r="G37" s="63">
        <f t="shared" ref="G37:G68" si="1">F37*0.7</f>
        <v>59.864</v>
      </c>
      <c r="H37" s="64" t="s">
        <v>152</v>
      </c>
      <c r="I37" s="18" t="s">
        <v>345</v>
      </c>
      <c r="J37" s="18"/>
      <c r="K37" s="18"/>
      <c r="L37" s="18"/>
      <c r="M37" s="18"/>
      <c r="N37" s="17" t="str">
        <f>_xlfn.DISPIMG("ID_FDBA2CA1BF05400796482783B541BCE4",1)</f>
        <v>=DISPIMG("ID_FDBA2CA1BF05400796482783B541BCE4",1)</v>
      </c>
      <c r="O37" s="22"/>
    </row>
    <row r="38" ht="30" customHeight="1" spans="1:15">
      <c r="A38" s="9">
        <v>35</v>
      </c>
      <c r="B38" s="68">
        <v>21012002</v>
      </c>
      <c r="C38" s="12" t="s">
        <v>255</v>
      </c>
      <c r="D38" s="61">
        <v>85.1</v>
      </c>
      <c r="E38" s="9">
        <v>0</v>
      </c>
      <c r="F38" s="62">
        <v>85.1</v>
      </c>
      <c r="G38" s="63">
        <f t="shared" si="1"/>
        <v>59.57</v>
      </c>
      <c r="H38" s="64" t="s">
        <v>256</v>
      </c>
      <c r="I38" s="18"/>
      <c r="J38" s="18"/>
      <c r="K38" s="18"/>
      <c r="L38" s="18"/>
      <c r="M38" s="18"/>
      <c r="N38" s="21" t="str">
        <f>_xlfn.DISPIMG("ID_7F19F2AAF1BE4D6F90B042FF901E566C",1)</f>
        <v>=DISPIMG("ID_7F19F2AAF1BE4D6F90B042FF901E566C",1)</v>
      </c>
      <c r="O38" s="22"/>
    </row>
    <row r="39" ht="30" customHeight="1" spans="1:15">
      <c r="A39" s="9">
        <v>36</v>
      </c>
      <c r="B39" s="68">
        <v>21012010</v>
      </c>
      <c r="C39" s="12" t="s">
        <v>281</v>
      </c>
      <c r="D39" s="61">
        <v>83.31</v>
      </c>
      <c r="E39" s="9">
        <v>0</v>
      </c>
      <c r="F39" s="62">
        <v>83.31</v>
      </c>
      <c r="G39" s="63">
        <f t="shared" si="1"/>
        <v>58.317</v>
      </c>
      <c r="H39" s="64" t="s">
        <v>270</v>
      </c>
      <c r="I39" s="16"/>
      <c r="J39" s="16"/>
      <c r="K39" s="16"/>
      <c r="L39" s="16"/>
      <c r="M39" s="16"/>
      <c r="N39" s="21" t="str">
        <f>_xlfn.DISPIMG("ID_1806B7082D8147BE84DFEB0CB134926D",1)</f>
        <v>=DISPIMG("ID_1806B7082D8147BE84DFEB0CB134926D",1)</v>
      </c>
      <c r="O39" s="22"/>
    </row>
    <row r="40" ht="30" customHeight="1" spans="1:15">
      <c r="A40" s="9">
        <v>37</v>
      </c>
      <c r="B40" s="68">
        <v>2012013</v>
      </c>
      <c r="C40" s="69" t="s">
        <v>101</v>
      </c>
      <c r="D40" s="61">
        <v>89.72</v>
      </c>
      <c r="E40" s="9">
        <v>2.5</v>
      </c>
      <c r="F40" s="62">
        <v>92.22</v>
      </c>
      <c r="G40" s="63">
        <f t="shared" si="1"/>
        <v>64.554</v>
      </c>
      <c r="H40" s="64" t="s">
        <v>102</v>
      </c>
      <c r="I40" s="18" t="s">
        <v>346</v>
      </c>
      <c r="J40" s="18"/>
      <c r="K40" s="18"/>
      <c r="L40" s="18"/>
      <c r="M40" s="18"/>
      <c r="N40" s="21" t="str">
        <f>_xlfn.DISPIMG("ID_3D585C203D2E42619105D844EDBA6E41",1)</f>
        <v>=DISPIMG("ID_3D585C203D2E42619105D844EDBA6E41",1)</v>
      </c>
      <c r="O40" s="22"/>
    </row>
    <row r="41" ht="30" customHeight="1" spans="1:15">
      <c r="A41" s="9">
        <v>38</v>
      </c>
      <c r="B41" s="70">
        <v>21012020</v>
      </c>
      <c r="C41" s="69" t="s">
        <v>302</v>
      </c>
      <c r="D41" s="61">
        <v>76.14</v>
      </c>
      <c r="E41" s="9">
        <v>0</v>
      </c>
      <c r="F41" s="62">
        <v>76.14</v>
      </c>
      <c r="G41" s="63">
        <f t="shared" si="1"/>
        <v>53.298</v>
      </c>
      <c r="H41" s="64" t="s">
        <v>303</v>
      </c>
      <c r="I41" s="16"/>
      <c r="J41" s="16"/>
      <c r="K41" s="16"/>
      <c r="L41" s="16"/>
      <c r="M41" s="16"/>
      <c r="N41" s="21" t="str">
        <f>_xlfn.DISPIMG("ID_6235E1B08C9B41CCBE6C040F1FF5CD05",1)</f>
        <v>=DISPIMG("ID_6235E1B08C9B41CCBE6C040F1FF5CD05",1)</v>
      </c>
      <c r="O41" s="22"/>
    </row>
    <row r="42" ht="30" customHeight="1" spans="1:15">
      <c r="A42" s="9">
        <v>39</v>
      </c>
      <c r="B42" s="70">
        <v>21012021</v>
      </c>
      <c r="C42" s="69" t="s">
        <v>209</v>
      </c>
      <c r="D42" s="61">
        <v>87.21</v>
      </c>
      <c r="E42" s="9">
        <v>0</v>
      </c>
      <c r="F42" s="62">
        <v>87.21</v>
      </c>
      <c r="G42" s="63">
        <f t="shared" si="1"/>
        <v>61.047</v>
      </c>
      <c r="H42" s="64" t="s">
        <v>210</v>
      </c>
      <c r="I42" s="16"/>
      <c r="J42" s="16"/>
      <c r="K42" s="16"/>
      <c r="L42" s="16"/>
      <c r="M42" s="16"/>
      <c r="N42" s="21" t="str">
        <f>_xlfn.DISPIMG("ID_2135E4B25E50455AB1C5B7E260938F8E",1)</f>
        <v>=DISPIMG("ID_2135E4B25E50455AB1C5B7E260938F8E",1)</v>
      </c>
      <c r="O42" s="22"/>
    </row>
    <row r="43" ht="30" customHeight="1" spans="1:15">
      <c r="A43" s="9">
        <v>40</v>
      </c>
      <c r="B43" s="70">
        <v>21012024</v>
      </c>
      <c r="C43" s="69" t="s">
        <v>265</v>
      </c>
      <c r="D43" s="61">
        <v>83.72</v>
      </c>
      <c r="E43" s="9">
        <v>0</v>
      </c>
      <c r="F43" s="62">
        <v>83.72</v>
      </c>
      <c r="G43" s="63">
        <f t="shared" si="1"/>
        <v>58.604</v>
      </c>
      <c r="H43" s="64" t="s">
        <v>266</v>
      </c>
      <c r="I43" s="16"/>
      <c r="J43" s="16"/>
      <c r="K43" s="16"/>
      <c r="L43" s="16"/>
      <c r="M43" s="16"/>
      <c r="N43" s="21" t="str">
        <f>_xlfn.DISPIMG("ID_C1B3B97AE1F94027BDF4A7D5B9765F9D",1)</f>
        <v>=DISPIMG("ID_C1B3B97AE1F94027BDF4A7D5B9765F9D",1)</v>
      </c>
      <c r="O43" s="22"/>
    </row>
    <row r="44" ht="30" customHeight="1" spans="1:15">
      <c r="A44" s="9">
        <v>41</v>
      </c>
      <c r="B44" s="70">
        <v>21012031</v>
      </c>
      <c r="C44" s="69" t="s">
        <v>135</v>
      </c>
      <c r="D44" s="61">
        <v>90.31</v>
      </c>
      <c r="E44" s="9">
        <v>0</v>
      </c>
      <c r="F44" s="62">
        <v>90.31</v>
      </c>
      <c r="G44" s="63">
        <f t="shared" si="1"/>
        <v>63.217</v>
      </c>
      <c r="H44" s="64" t="s">
        <v>136</v>
      </c>
      <c r="I44" s="16"/>
      <c r="J44" s="16"/>
      <c r="K44" s="16"/>
      <c r="L44" s="16"/>
      <c r="M44" s="16"/>
      <c r="N44" s="21" t="str">
        <f>_xlfn.DISPIMG("ID_EAC40774C7724601807912C3943B060B",1)</f>
        <v>=DISPIMG("ID_EAC40774C7724601807912C3943B060B",1)</v>
      </c>
      <c r="O44" s="22"/>
    </row>
    <row r="45" ht="30" customHeight="1" spans="1:15">
      <c r="A45" s="9">
        <v>42</v>
      </c>
      <c r="B45" s="70">
        <v>21012035</v>
      </c>
      <c r="C45" s="69" t="s">
        <v>44</v>
      </c>
      <c r="D45" s="61">
        <v>93.24</v>
      </c>
      <c r="E45" s="9">
        <v>10</v>
      </c>
      <c r="F45" s="62">
        <v>103.24</v>
      </c>
      <c r="G45" s="63">
        <f t="shared" si="1"/>
        <v>72.268</v>
      </c>
      <c r="H45" s="64" t="s">
        <v>45</v>
      </c>
      <c r="I45" s="18" t="s">
        <v>347</v>
      </c>
      <c r="J45" s="18"/>
      <c r="K45" s="18"/>
      <c r="L45" s="18"/>
      <c r="M45" s="18"/>
      <c r="N45" s="21" t="str">
        <f>_xlfn.DISPIMG("ID_3D21938855124DF68B188B390CAAF63A",1)</f>
        <v>=DISPIMG("ID_3D21938855124DF68B188B390CAAF63A",1)</v>
      </c>
      <c r="O45" s="22"/>
    </row>
    <row r="46" ht="30" customHeight="1" spans="1:15">
      <c r="A46" s="9">
        <v>43</v>
      </c>
      <c r="B46" s="70">
        <v>21012042</v>
      </c>
      <c r="C46" s="69" t="s">
        <v>171</v>
      </c>
      <c r="D46" s="61">
        <v>87.55</v>
      </c>
      <c r="E46" s="9">
        <v>0</v>
      </c>
      <c r="F46" s="62">
        <v>87.55</v>
      </c>
      <c r="G46" s="63">
        <f t="shared" si="1"/>
        <v>61.285</v>
      </c>
      <c r="H46" s="64" t="s">
        <v>166</v>
      </c>
      <c r="I46" s="16"/>
      <c r="J46" s="16"/>
      <c r="K46" s="16"/>
      <c r="L46" s="16"/>
      <c r="M46" s="16"/>
      <c r="N46" s="21" t="str">
        <f>_xlfn.DISPIMG("ID_1580BC6383D94C0081879D8D4CABC2F0",1)</f>
        <v>=DISPIMG("ID_1580BC6383D94C0081879D8D4CABC2F0",1)</v>
      </c>
      <c r="O46" s="22"/>
    </row>
    <row r="47" s="1" customFormat="1" ht="30" customHeight="1" spans="1:15">
      <c r="A47" s="9">
        <v>44</v>
      </c>
      <c r="B47" s="70">
        <v>21012045</v>
      </c>
      <c r="C47" s="69" t="s">
        <v>155</v>
      </c>
      <c r="D47" s="61">
        <v>87.38</v>
      </c>
      <c r="E47" s="10">
        <v>2</v>
      </c>
      <c r="F47" s="66">
        <v>89.38</v>
      </c>
      <c r="G47" s="67">
        <f t="shared" si="1"/>
        <v>62.566</v>
      </c>
      <c r="H47" s="64" t="s">
        <v>144</v>
      </c>
      <c r="I47" s="19" t="s">
        <v>348</v>
      </c>
      <c r="J47" s="19"/>
      <c r="K47" s="19"/>
      <c r="L47" s="19"/>
      <c r="M47" s="19"/>
      <c r="N47" s="21" t="str">
        <f>_xlfn.DISPIMG("ID_B3CF7EE694D94C5795B2197525027461",1)</f>
        <v>=DISPIMG("ID_B3CF7EE694D94C5795B2197525027461",1)</v>
      </c>
      <c r="O47" s="88"/>
    </row>
    <row r="48" ht="30" customHeight="1" spans="1:15">
      <c r="A48" s="9">
        <v>45</v>
      </c>
      <c r="B48" s="70">
        <v>21012052</v>
      </c>
      <c r="C48" s="69" t="s">
        <v>199</v>
      </c>
      <c r="D48" s="61">
        <v>87.66</v>
      </c>
      <c r="E48" s="9">
        <v>0</v>
      </c>
      <c r="F48" s="62">
        <v>87.66</v>
      </c>
      <c r="G48" s="63">
        <f t="shared" si="1"/>
        <v>61.362</v>
      </c>
      <c r="H48" s="64" t="s">
        <v>200</v>
      </c>
      <c r="I48" s="16"/>
      <c r="J48" s="16"/>
      <c r="K48" s="16"/>
      <c r="L48" s="16"/>
      <c r="M48" s="16"/>
      <c r="N48" s="21" t="str">
        <f>_xlfn.DISPIMG("ID_9D35F126368540EF8B2DB3015D568D37",1)</f>
        <v>=DISPIMG("ID_9D35F126368540EF8B2DB3015D568D37",1)</v>
      </c>
      <c r="O48" s="22"/>
    </row>
    <row r="49" ht="30" customHeight="1" spans="1:15">
      <c r="A49" s="9">
        <v>46</v>
      </c>
      <c r="B49" s="70">
        <v>21012056</v>
      </c>
      <c r="C49" s="69" t="s">
        <v>201</v>
      </c>
      <c r="D49" s="61">
        <v>87.28</v>
      </c>
      <c r="E49" s="9">
        <v>0</v>
      </c>
      <c r="F49" s="62">
        <v>87.28</v>
      </c>
      <c r="G49" s="63">
        <f t="shared" si="1"/>
        <v>61.096</v>
      </c>
      <c r="H49" s="64" t="s">
        <v>202</v>
      </c>
      <c r="I49" s="16"/>
      <c r="J49" s="16"/>
      <c r="K49" s="16"/>
      <c r="L49" s="16"/>
      <c r="M49" s="16"/>
      <c r="N49" s="21" t="str">
        <f>_xlfn.DISPIMG("ID_C860772B2C5A4F9291A3896ABFB35EDF",1)</f>
        <v>=DISPIMG("ID_C860772B2C5A4F9291A3896ABFB35EDF",1)</v>
      </c>
      <c r="O49" s="22"/>
    </row>
    <row r="50" ht="30" customHeight="1" spans="1:15">
      <c r="A50" s="9">
        <v>47</v>
      </c>
      <c r="B50" s="70">
        <v>21012063</v>
      </c>
      <c r="C50" s="69" t="s">
        <v>271</v>
      </c>
      <c r="D50" s="61">
        <v>83.76</v>
      </c>
      <c r="E50" s="9">
        <v>0</v>
      </c>
      <c r="F50" s="62">
        <v>83.76</v>
      </c>
      <c r="G50" s="63">
        <f t="shared" si="1"/>
        <v>58.632</v>
      </c>
      <c r="H50" s="64" t="s">
        <v>272</v>
      </c>
      <c r="I50" s="16"/>
      <c r="J50" s="16"/>
      <c r="K50" s="16"/>
      <c r="L50" s="16"/>
      <c r="M50" s="16"/>
      <c r="N50" s="21" t="str">
        <f>_xlfn.DISPIMG("ID_1EB335992D8B4303B93B46744F3CB060",1)</f>
        <v>=DISPIMG("ID_1EB335992D8B4303B93B46744F3CB060",1)</v>
      </c>
      <c r="O50" s="22"/>
    </row>
    <row r="51" ht="30" customHeight="1" spans="1:15">
      <c r="A51" s="9">
        <v>48</v>
      </c>
      <c r="B51" s="70">
        <v>21012066</v>
      </c>
      <c r="C51" s="69" t="s">
        <v>207</v>
      </c>
      <c r="D51" s="61">
        <v>86.72</v>
      </c>
      <c r="E51" s="9">
        <v>0</v>
      </c>
      <c r="F51" s="62">
        <v>86.72</v>
      </c>
      <c r="G51" s="63">
        <f t="shared" si="1"/>
        <v>60.704</v>
      </c>
      <c r="H51" s="64" t="s">
        <v>208</v>
      </c>
      <c r="I51" s="16"/>
      <c r="J51" s="16"/>
      <c r="K51" s="16"/>
      <c r="L51" s="16"/>
      <c r="M51" s="16"/>
      <c r="N51" s="21" t="str">
        <f>_xlfn.DISPIMG("ID_93606653A0AA46768807EE2291AFD8F3",1)</f>
        <v>=DISPIMG("ID_93606653A0AA46768807EE2291AFD8F3",1)</v>
      </c>
      <c r="O51" s="22"/>
    </row>
    <row r="52" ht="30" customHeight="1" spans="1:15">
      <c r="A52" s="9">
        <v>49</v>
      </c>
      <c r="B52" s="70">
        <v>21012076</v>
      </c>
      <c r="C52" s="69" t="s">
        <v>267</v>
      </c>
      <c r="D52" s="61">
        <v>84.24</v>
      </c>
      <c r="E52" s="9">
        <v>0</v>
      </c>
      <c r="F52" s="62">
        <v>84.24</v>
      </c>
      <c r="G52" s="63">
        <f t="shared" si="1"/>
        <v>58.968</v>
      </c>
      <c r="H52" s="64" t="s">
        <v>268</v>
      </c>
      <c r="I52" s="16"/>
      <c r="J52" s="16"/>
      <c r="K52" s="16"/>
      <c r="L52" s="16"/>
      <c r="M52" s="16"/>
      <c r="N52" s="21" t="str">
        <f>_xlfn.DISPIMG("ID_B79446EAB54E4972BC45F86D067881D9",1)</f>
        <v>=DISPIMG("ID_B79446EAB54E4972BC45F86D067881D9",1)</v>
      </c>
      <c r="O52" s="22"/>
    </row>
    <row r="53" ht="30" customHeight="1" spans="1:15">
      <c r="A53" s="9">
        <v>50</v>
      </c>
      <c r="B53" s="70">
        <v>21012080</v>
      </c>
      <c r="C53" s="69" t="s">
        <v>143</v>
      </c>
      <c r="D53" s="61">
        <v>89.38</v>
      </c>
      <c r="E53" s="9">
        <v>0</v>
      </c>
      <c r="F53" s="62">
        <v>89.38</v>
      </c>
      <c r="G53" s="63">
        <f t="shared" si="1"/>
        <v>62.566</v>
      </c>
      <c r="H53" s="64" t="s">
        <v>144</v>
      </c>
      <c r="I53" s="16"/>
      <c r="J53" s="16"/>
      <c r="K53" s="16"/>
      <c r="L53" s="16"/>
      <c r="M53" s="16"/>
      <c r="N53" s="21" t="str">
        <f>_xlfn.DISPIMG("ID_7A88F9127E994F36B9D9AA2E5515B09D",1)</f>
        <v>=DISPIMG("ID_7A88F9127E994F36B9D9AA2E5515B09D",1)</v>
      </c>
      <c r="O53" s="22"/>
    </row>
    <row r="54" ht="30" customHeight="1" spans="1:15">
      <c r="A54" s="9">
        <v>51</v>
      </c>
      <c r="B54" s="70">
        <v>21012087</v>
      </c>
      <c r="C54" s="69" t="s">
        <v>227</v>
      </c>
      <c r="D54" s="61">
        <v>86.45</v>
      </c>
      <c r="E54" s="9">
        <v>0</v>
      </c>
      <c r="F54" s="62">
        <v>86.45</v>
      </c>
      <c r="G54" s="63">
        <f t="shared" si="1"/>
        <v>60.515</v>
      </c>
      <c r="H54" s="64" t="s">
        <v>228</v>
      </c>
      <c r="I54" s="16"/>
      <c r="J54" s="16"/>
      <c r="K54" s="16"/>
      <c r="L54" s="16"/>
      <c r="M54" s="16"/>
      <c r="N54" s="21" t="str">
        <f>_xlfn.DISPIMG("ID_290590C3B71744E29D9AD520DC49FFD2",1)</f>
        <v>=DISPIMG("ID_290590C3B71744E29D9AD520DC49FFD2",1)</v>
      </c>
      <c r="O54" s="22"/>
    </row>
    <row r="55" ht="30" customHeight="1" spans="1:15">
      <c r="A55" s="9">
        <v>52</v>
      </c>
      <c r="B55" s="70">
        <v>21012090</v>
      </c>
      <c r="C55" s="69" t="s">
        <v>240</v>
      </c>
      <c r="D55" s="61">
        <v>85.83</v>
      </c>
      <c r="E55" s="9">
        <v>0</v>
      </c>
      <c r="F55" s="62">
        <v>85.83</v>
      </c>
      <c r="G55" s="63">
        <f t="shared" si="1"/>
        <v>60.081</v>
      </c>
      <c r="H55" s="64" t="s">
        <v>241</v>
      </c>
      <c r="I55" s="16"/>
      <c r="J55" s="16"/>
      <c r="K55" s="16"/>
      <c r="L55" s="16"/>
      <c r="M55" s="16"/>
      <c r="N55" s="21" t="str">
        <f>_xlfn.DISPIMG("ID_6A4155D005934C27862207BA783DD1F8",1)</f>
        <v>=DISPIMG("ID_6A4155D005934C27862207BA783DD1F8",1)</v>
      </c>
      <c r="O55" s="22"/>
    </row>
    <row r="56" ht="30" customHeight="1" spans="1:15">
      <c r="A56" s="9">
        <v>53</v>
      </c>
      <c r="B56" s="70">
        <v>21012091</v>
      </c>
      <c r="C56" s="69" t="s">
        <v>304</v>
      </c>
      <c r="D56" s="61">
        <v>75.41</v>
      </c>
      <c r="E56" s="9">
        <v>0</v>
      </c>
      <c r="F56" s="62">
        <v>75.41</v>
      </c>
      <c r="G56" s="63">
        <f t="shared" si="1"/>
        <v>52.787</v>
      </c>
      <c r="H56" s="64" t="s">
        <v>305</v>
      </c>
      <c r="I56" s="16"/>
      <c r="J56" s="16"/>
      <c r="K56" s="16"/>
      <c r="L56" s="16"/>
      <c r="M56" s="16"/>
      <c r="N56" s="21" t="str">
        <f>_xlfn.DISPIMG("ID_DF018BD97BD1475887204332FB53106D",1)</f>
        <v>=DISPIMG("ID_DF018BD97BD1475887204332FB53106D",1)</v>
      </c>
      <c r="O56" s="22"/>
    </row>
    <row r="57" ht="30" customHeight="1" spans="1:15">
      <c r="A57" s="9">
        <v>54</v>
      </c>
      <c r="B57" s="70">
        <v>21012100</v>
      </c>
      <c r="C57" s="69" t="s">
        <v>229</v>
      </c>
      <c r="D57" s="61">
        <v>86.45</v>
      </c>
      <c r="E57" s="9">
        <v>0</v>
      </c>
      <c r="F57" s="62">
        <v>86.45</v>
      </c>
      <c r="G57" s="63">
        <f t="shared" si="1"/>
        <v>60.515</v>
      </c>
      <c r="H57" s="64" t="s">
        <v>228</v>
      </c>
      <c r="I57" s="16"/>
      <c r="J57" s="16"/>
      <c r="K57" s="16"/>
      <c r="L57" s="16"/>
      <c r="M57" s="16"/>
      <c r="N57" s="21" t="str">
        <f>_xlfn.DISPIMG("ID_359250A318A549C3A1A77287121972DB",1)</f>
        <v>=DISPIMG("ID_359250A318A549C3A1A77287121972DB",1)</v>
      </c>
      <c r="O57" s="22"/>
    </row>
    <row r="58" ht="30" customHeight="1" spans="1:15">
      <c r="A58" s="9">
        <v>55</v>
      </c>
      <c r="B58" s="70">
        <v>21012103</v>
      </c>
      <c r="C58" s="69" t="s">
        <v>310</v>
      </c>
      <c r="D58" s="61">
        <v>74.81</v>
      </c>
      <c r="E58" s="9">
        <v>0</v>
      </c>
      <c r="F58" s="62">
        <v>74.81</v>
      </c>
      <c r="G58" s="63">
        <f t="shared" si="1"/>
        <v>52.367</v>
      </c>
      <c r="H58" s="64" t="s">
        <v>311</v>
      </c>
      <c r="I58" s="16"/>
      <c r="J58" s="16"/>
      <c r="K58" s="16"/>
      <c r="L58" s="16"/>
      <c r="M58" s="16"/>
      <c r="N58" s="21" t="str">
        <f>_xlfn.DISPIMG("ID_AD5470C52AA14091948990355A69593B",1)</f>
        <v>=DISPIMG("ID_AD5470C52AA14091948990355A69593B",1)</v>
      </c>
      <c r="O58" s="22"/>
    </row>
    <row r="59" ht="30" customHeight="1" spans="1:15">
      <c r="A59" s="9">
        <v>56</v>
      </c>
      <c r="B59" s="70">
        <v>21012110</v>
      </c>
      <c r="C59" s="69" t="s">
        <v>279</v>
      </c>
      <c r="D59" s="61">
        <v>83.55</v>
      </c>
      <c r="E59" s="9">
        <v>0</v>
      </c>
      <c r="F59" s="62">
        <v>83.55</v>
      </c>
      <c r="G59" s="63">
        <f t="shared" si="1"/>
        <v>58.485</v>
      </c>
      <c r="H59" s="64" t="s">
        <v>280</v>
      </c>
      <c r="I59" s="16"/>
      <c r="J59" s="16"/>
      <c r="K59" s="16"/>
      <c r="L59" s="16"/>
      <c r="M59" s="16"/>
      <c r="N59" s="21" t="str">
        <f>_xlfn.DISPIMG("ID_E99B2987E4144CD8B632ECF912544A08",1)</f>
        <v>=DISPIMG("ID_E99B2987E4144CD8B632ECF912544A08",1)</v>
      </c>
      <c r="O59" s="22"/>
    </row>
    <row r="60" ht="30" customHeight="1" spans="1:15">
      <c r="A60" s="9">
        <v>57</v>
      </c>
      <c r="B60" s="70">
        <v>21012111</v>
      </c>
      <c r="C60" s="69" t="s">
        <v>48</v>
      </c>
      <c r="D60" s="61">
        <v>87.41</v>
      </c>
      <c r="E60" s="9">
        <v>10</v>
      </c>
      <c r="F60" s="62">
        <v>97.41</v>
      </c>
      <c r="G60" s="63">
        <f t="shared" si="1"/>
        <v>68.187</v>
      </c>
      <c r="H60" s="64" t="s">
        <v>49</v>
      </c>
      <c r="I60" s="18" t="s">
        <v>349</v>
      </c>
      <c r="J60" s="18"/>
      <c r="K60" s="18"/>
      <c r="L60" s="18"/>
      <c r="M60" s="18"/>
      <c r="N60" s="21" t="str">
        <f>_xlfn.DISPIMG("ID_6EAE095C84C444328C98807FBA53734F",1)</f>
        <v>=DISPIMG("ID_6EAE095C84C444328C98807FBA53734F",1)</v>
      </c>
      <c r="O60" s="22"/>
    </row>
    <row r="61" ht="30" customHeight="1" spans="1:15">
      <c r="A61" s="9">
        <v>58</v>
      </c>
      <c r="B61" s="70">
        <v>21012116</v>
      </c>
      <c r="C61" s="69" t="s">
        <v>320</v>
      </c>
      <c r="D61" s="61">
        <v>70.27</v>
      </c>
      <c r="E61" s="9">
        <v>0</v>
      </c>
      <c r="F61" s="62">
        <v>70.27</v>
      </c>
      <c r="G61" s="63">
        <f t="shared" si="1"/>
        <v>49.189</v>
      </c>
      <c r="H61" s="64" t="s">
        <v>321</v>
      </c>
      <c r="I61" s="16"/>
      <c r="J61" s="16"/>
      <c r="K61" s="16"/>
      <c r="L61" s="16"/>
      <c r="M61" s="16"/>
      <c r="N61" s="21" t="str">
        <f>_xlfn.DISPIMG("ID_9790C799FAB54665B999302CE258017E",1)</f>
        <v>=DISPIMG("ID_9790C799FAB54665B999302CE258017E",1)</v>
      </c>
      <c r="O61" s="22"/>
    </row>
    <row r="62" ht="30" customHeight="1" spans="1:15">
      <c r="A62" s="9">
        <v>59</v>
      </c>
      <c r="B62" s="70">
        <v>21012126</v>
      </c>
      <c r="C62" s="69" t="s">
        <v>242</v>
      </c>
      <c r="D62" s="61">
        <v>85.24</v>
      </c>
      <c r="E62" s="9">
        <v>0</v>
      </c>
      <c r="F62" s="62">
        <v>85.24</v>
      </c>
      <c r="G62" s="63">
        <f t="shared" si="1"/>
        <v>59.668</v>
      </c>
      <c r="H62" s="64" t="s">
        <v>218</v>
      </c>
      <c r="I62" s="16"/>
      <c r="J62" s="16"/>
      <c r="K62" s="16"/>
      <c r="L62" s="16"/>
      <c r="M62" s="16"/>
      <c r="N62" s="21" t="str">
        <f>_xlfn.DISPIMG("ID_B05D86026617406FA45D9E2B2F7EB484",1)</f>
        <v>=DISPIMG("ID_B05D86026617406FA45D9E2B2F7EB484",1)</v>
      </c>
      <c r="O62" s="22"/>
    </row>
    <row r="63" ht="30" customHeight="1" spans="1:15">
      <c r="A63" s="9">
        <v>60</v>
      </c>
      <c r="B63" s="70">
        <v>21012129</v>
      </c>
      <c r="C63" s="71" t="s">
        <v>94</v>
      </c>
      <c r="D63" s="61">
        <v>90.66</v>
      </c>
      <c r="E63" s="9">
        <v>1</v>
      </c>
      <c r="F63" s="62">
        <v>91.66</v>
      </c>
      <c r="G63" s="63">
        <f t="shared" si="1"/>
        <v>64.162</v>
      </c>
      <c r="H63" s="64" t="s">
        <v>95</v>
      </c>
      <c r="I63" s="16" t="s">
        <v>350</v>
      </c>
      <c r="J63" s="16"/>
      <c r="K63" s="16"/>
      <c r="L63" s="16"/>
      <c r="M63" s="16"/>
      <c r="N63" s="21" t="str">
        <f>_xlfn.DISPIMG("ID_24E86B72711F443F8A702455CDBC2348",1)</f>
        <v>=DISPIMG("ID_24E86B72711F443F8A702455CDBC2348",1)</v>
      </c>
      <c r="O63" s="22"/>
    </row>
    <row r="64" ht="30" customHeight="1" spans="1:15">
      <c r="A64" s="9">
        <v>61</v>
      </c>
      <c r="B64" s="70">
        <v>21012132</v>
      </c>
      <c r="C64" s="69" t="s">
        <v>42</v>
      </c>
      <c r="D64" s="61">
        <v>92.14</v>
      </c>
      <c r="E64" s="9">
        <v>10</v>
      </c>
      <c r="F64" s="62">
        <v>102.14</v>
      </c>
      <c r="G64" s="63">
        <f t="shared" si="1"/>
        <v>71.498</v>
      </c>
      <c r="H64" s="64" t="s">
        <v>43</v>
      </c>
      <c r="I64" s="18" t="s">
        <v>351</v>
      </c>
      <c r="J64" s="18"/>
      <c r="K64" s="18"/>
      <c r="L64" s="18"/>
      <c r="M64" s="18"/>
      <c r="N64" s="21" t="str">
        <f>_xlfn.DISPIMG("ID_E92652EE3D6E459DAA6A9B6B1CF7F60E",1)</f>
        <v>=DISPIMG("ID_E92652EE3D6E459DAA6A9B6B1CF7F60E",1)</v>
      </c>
      <c r="O64" s="22"/>
    </row>
    <row r="65" ht="30" customHeight="1" spans="1:15">
      <c r="A65" s="9">
        <v>62</v>
      </c>
      <c r="B65" s="70">
        <v>21012135</v>
      </c>
      <c r="C65" s="69" t="s">
        <v>317</v>
      </c>
      <c r="D65" s="61">
        <v>72.41</v>
      </c>
      <c r="E65" s="9">
        <v>0</v>
      </c>
      <c r="F65" s="62">
        <v>72.41</v>
      </c>
      <c r="G65" s="63">
        <f t="shared" si="1"/>
        <v>50.687</v>
      </c>
      <c r="H65" s="64" t="s">
        <v>318</v>
      </c>
      <c r="I65" s="16"/>
      <c r="J65" s="16"/>
      <c r="K65" s="16"/>
      <c r="L65" s="16"/>
      <c r="M65" s="16"/>
      <c r="N65" s="21" t="str">
        <f>_xlfn.DISPIMG("ID_C3B09B3F0D2E4AD3AF93F3E438615792",1)</f>
        <v>=DISPIMG("ID_C3B09B3F0D2E4AD3AF93F3E438615792",1)</v>
      </c>
      <c r="O65" s="22"/>
    </row>
    <row r="66" ht="30" customHeight="1" spans="1:15">
      <c r="A66" s="9">
        <v>63</v>
      </c>
      <c r="B66" s="70">
        <v>21012141</v>
      </c>
      <c r="C66" s="69" t="s">
        <v>183</v>
      </c>
      <c r="D66" s="61">
        <v>86.9</v>
      </c>
      <c r="E66" s="9">
        <v>0</v>
      </c>
      <c r="F66" s="62">
        <v>86.9</v>
      </c>
      <c r="G66" s="63">
        <f t="shared" si="1"/>
        <v>60.83</v>
      </c>
      <c r="H66" s="64" t="s">
        <v>162</v>
      </c>
      <c r="I66" s="16"/>
      <c r="J66" s="16"/>
      <c r="K66" s="16"/>
      <c r="L66" s="16"/>
      <c r="M66" s="16"/>
      <c r="N66" s="21" t="str">
        <f>_xlfn.DISPIMG("ID_6EECEF4EC27A47CCA48B0D0C079E5CB2",1)</f>
        <v>=DISPIMG("ID_6EECEF4EC27A47CCA48B0D0C079E5CB2",1)</v>
      </c>
      <c r="O66" s="22"/>
    </row>
    <row r="67" ht="30" customHeight="1" spans="1:15">
      <c r="A67" s="9">
        <v>64</v>
      </c>
      <c r="B67" s="70">
        <v>21012144</v>
      </c>
      <c r="C67" s="69" t="s">
        <v>23</v>
      </c>
      <c r="D67" s="61">
        <v>92.69</v>
      </c>
      <c r="E67" s="9">
        <v>10</v>
      </c>
      <c r="F67" s="62">
        <v>102.69</v>
      </c>
      <c r="G67" s="63">
        <f t="shared" si="1"/>
        <v>71.883</v>
      </c>
      <c r="H67" s="64" t="s">
        <v>24</v>
      </c>
      <c r="I67" s="18" t="s">
        <v>352</v>
      </c>
      <c r="J67" s="18"/>
      <c r="K67" s="18"/>
      <c r="L67" s="18"/>
      <c r="M67" s="18"/>
      <c r="N67" s="21" t="str">
        <f>_xlfn.DISPIMG("ID_D9AC2E4C2B594B7494E4CB3D68316F8A",1)</f>
        <v>=DISPIMG("ID_D9AC2E4C2B594B7494E4CB3D68316F8A",1)</v>
      </c>
      <c r="O67" s="22"/>
    </row>
    <row r="68" ht="30" customHeight="1" spans="1:15">
      <c r="A68" s="9">
        <v>65</v>
      </c>
      <c r="B68" s="70">
        <v>21012151</v>
      </c>
      <c r="C68" s="69" t="s">
        <v>290</v>
      </c>
      <c r="D68" s="61">
        <v>82</v>
      </c>
      <c r="E68" s="9">
        <v>0</v>
      </c>
      <c r="F68" s="62">
        <v>82</v>
      </c>
      <c r="G68" s="63">
        <f t="shared" si="1"/>
        <v>57.4</v>
      </c>
      <c r="H68" s="64" t="s">
        <v>291</v>
      </c>
      <c r="I68" s="90"/>
      <c r="J68" s="90"/>
      <c r="K68" s="90"/>
      <c r="L68" s="90"/>
      <c r="M68" s="90"/>
      <c r="N68" s="21" t="str">
        <f>_xlfn.DISPIMG("ID_B9F3E4E9C3E349AC8E956EA7E7A2C6D6",1)</f>
        <v>=DISPIMG("ID_B9F3E4E9C3E349AC8E956EA7E7A2C6D6",1)</v>
      </c>
      <c r="O68" s="22"/>
    </row>
    <row r="69" ht="30" customHeight="1" spans="1:15">
      <c r="A69" s="9">
        <v>66</v>
      </c>
      <c r="B69" s="70">
        <v>21012153</v>
      </c>
      <c r="C69" s="69" t="s">
        <v>153</v>
      </c>
      <c r="D69" s="61">
        <v>86.83</v>
      </c>
      <c r="E69" s="9">
        <v>2</v>
      </c>
      <c r="F69" s="62">
        <v>88.83</v>
      </c>
      <c r="G69" s="63">
        <f t="shared" ref="G69:G100" si="2">F69*0.7</f>
        <v>62.181</v>
      </c>
      <c r="H69" s="64" t="s">
        <v>154</v>
      </c>
      <c r="I69" s="16" t="s">
        <v>353</v>
      </c>
      <c r="J69" s="16"/>
      <c r="K69" s="16"/>
      <c r="L69" s="16"/>
      <c r="M69" s="16"/>
      <c r="N69" s="21" t="str">
        <f>_xlfn.DISPIMG("ID_9258CFD5E60C41C6814F7EEF30083FD1",1)</f>
        <v>=DISPIMG("ID_9258CFD5E60C41C6814F7EEF30083FD1",1)</v>
      </c>
      <c r="O69" s="22"/>
    </row>
    <row r="70" ht="30" customHeight="1" spans="1:15">
      <c r="A70" s="9">
        <v>67</v>
      </c>
      <c r="B70" s="89" t="s">
        <v>118</v>
      </c>
      <c r="C70" s="12" t="s">
        <v>119</v>
      </c>
      <c r="D70" s="61">
        <v>90.59</v>
      </c>
      <c r="E70" s="89">
        <v>0</v>
      </c>
      <c r="F70" s="62">
        <v>90.59</v>
      </c>
      <c r="G70" s="63">
        <f t="shared" si="2"/>
        <v>63.413</v>
      </c>
      <c r="H70" s="64" t="s">
        <v>120</v>
      </c>
      <c r="I70" s="24"/>
      <c r="J70" s="24"/>
      <c r="K70" s="24"/>
      <c r="L70" s="24"/>
      <c r="M70" s="24"/>
      <c r="N70" s="17" t="str">
        <f>_xlfn.DISPIMG("ID_B40A970E303E4F5DB3C195D5613C5DEE",1)</f>
        <v>=DISPIMG("ID_B40A970E303E4F5DB3C195D5613C5DEE",1)</v>
      </c>
      <c r="O70" s="22"/>
    </row>
    <row r="71" ht="30" customHeight="1" spans="1:15">
      <c r="A71" s="9">
        <v>68</v>
      </c>
      <c r="B71" s="12">
        <v>21012009</v>
      </c>
      <c r="C71" s="12" t="s">
        <v>308</v>
      </c>
      <c r="D71" s="61">
        <v>74.39</v>
      </c>
      <c r="E71" s="12">
        <v>0.5</v>
      </c>
      <c r="F71" s="62">
        <v>74.89</v>
      </c>
      <c r="G71" s="63">
        <f t="shared" si="2"/>
        <v>52.423</v>
      </c>
      <c r="H71" s="64" t="s">
        <v>309</v>
      </c>
      <c r="I71" s="25" t="s">
        <v>354</v>
      </c>
      <c r="J71" s="25"/>
      <c r="K71" s="25"/>
      <c r="L71" s="25"/>
      <c r="M71" s="25"/>
      <c r="N71" s="17" t="str">
        <f>_xlfn.DISPIMG("ID_8E75258423904F978B8D295FA9150929",1)</f>
        <v>=DISPIMG("ID_8E75258423904F978B8D295FA9150929",1)</v>
      </c>
      <c r="O71" s="22"/>
    </row>
    <row r="72" ht="30" customHeight="1" spans="1:15">
      <c r="A72" s="9">
        <v>69</v>
      </c>
      <c r="B72" s="12">
        <v>21012014</v>
      </c>
      <c r="C72" s="12" t="s">
        <v>221</v>
      </c>
      <c r="D72" s="61">
        <v>86.24</v>
      </c>
      <c r="E72" s="12">
        <v>0.5</v>
      </c>
      <c r="F72" s="62">
        <v>86.74</v>
      </c>
      <c r="G72" s="63">
        <f t="shared" si="2"/>
        <v>60.718</v>
      </c>
      <c r="H72" s="64" t="s">
        <v>222</v>
      </c>
      <c r="I72" s="25" t="s">
        <v>354</v>
      </c>
      <c r="J72" s="25"/>
      <c r="K72" s="25"/>
      <c r="L72" s="25"/>
      <c r="M72" s="25"/>
      <c r="N72" s="3" t="str">
        <f>_xlfn.DISPIMG("ID_4E291C5D7F5C45DAA4787E5B005AB433",1)</f>
        <v>=DISPIMG("ID_4E291C5D7F5C45DAA4787E5B005AB433",1)</v>
      </c>
      <c r="O72" s="22"/>
    </row>
    <row r="73" ht="30" customHeight="1" spans="1:15">
      <c r="A73" s="9">
        <v>70</v>
      </c>
      <c r="B73" s="12">
        <v>21012019</v>
      </c>
      <c r="C73" s="12" t="s">
        <v>248</v>
      </c>
      <c r="D73" s="61">
        <v>84.34</v>
      </c>
      <c r="E73" s="12">
        <v>0</v>
      </c>
      <c r="F73" s="62">
        <v>84.34</v>
      </c>
      <c r="G73" s="63">
        <f t="shared" si="2"/>
        <v>59.038</v>
      </c>
      <c r="H73" s="64" t="s">
        <v>249</v>
      </c>
      <c r="I73" s="25"/>
      <c r="J73" s="25"/>
      <c r="K73" s="25"/>
      <c r="L73" s="25"/>
      <c r="M73" s="25"/>
      <c r="N73" s="3" t="str">
        <f>_xlfn.DISPIMG("ID_C7CA0887D99445F89CFA1E45ABCBE067",1)</f>
        <v>=DISPIMG("ID_C7CA0887D99445F89CFA1E45ABCBE067",1)</v>
      </c>
      <c r="O73" s="22"/>
    </row>
    <row r="74" ht="30" customHeight="1" spans="1:15">
      <c r="A74" s="9">
        <v>71</v>
      </c>
      <c r="B74" s="12">
        <v>21012025</v>
      </c>
      <c r="C74" s="12" t="s">
        <v>149</v>
      </c>
      <c r="D74" s="61">
        <v>88.52</v>
      </c>
      <c r="E74" s="12">
        <v>0</v>
      </c>
      <c r="F74" s="62">
        <v>88.52</v>
      </c>
      <c r="G74" s="63">
        <f t="shared" si="2"/>
        <v>61.964</v>
      </c>
      <c r="H74" s="64" t="s">
        <v>150</v>
      </c>
      <c r="I74" s="25"/>
      <c r="J74" s="25"/>
      <c r="K74" s="25"/>
      <c r="L74" s="25"/>
      <c r="M74" s="25"/>
      <c r="N74" s="17" t="str">
        <f>_xlfn.DISPIMG("ID_67DAF9CEFCEE48D18ADC85D4DDC29FAF",1)</f>
        <v>=DISPIMG("ID_67DAF9CEFCEE48D18ADC85D4DDC29FAF",1)</v>
      </c>
      <c r="O74" s="22"/>
    </row>
    <row r="75" ht="30" customHeight="1" spans="1:15">
      <c r="A75" s="9">
        <v>72</v>
      </c>
      <c r="B75" s="12">
        <v>21012030</v>
      </c>
      <c r="C75" s="12" t="s">
        <v>257</v>
      </c>
      <c r="D75" s="61">
        <v>84.76</v>
      </c>
      <c r="E75" s="12">
        <v>0</v>
      </c>
      <c r="F75" s="62">
        <v>84.76</v>
      </c>
      <c r="G75" s="63">
        <f t="shared" si="2"/>
        <v>59.332</v>
      </c>
      <c r="H75" s="64" t="s">
        <v>258</v>
      </c>
      <c r="I75" s="25"/>
      <c r="J75" s="25"/>
      <c r="K75" s="25"/>
      <c r="L75" s="25"/>
      <c r="M75" s="25"/>
      <c r="N75" s="3" t="str">
        <f>_xlfn.DISPIMG("ID_DA3D51D1E4D74650988C807CDC410648",1)</f>
        <v>=DISPIMG("ID_DA3D51D1E4D74650988C807CDC410648",1)</v>
      </c>
      <c r="O75" s="22"/>
    </row>
    <row r="76" ht="30" customHeight="1" spans="1:15">
      <c r="A76" s="9">
        <v>73</v>
      </c>
      <c r="B76" s="12">
        <v>21012034</v>
      </c>
      <c r="C76" s="12" t="s">
        <v>244</v>
      </c>
      <c r="D76" s="61">
        <v>84.86</v>
      </c>
      <c r="E76" s="12">
        <v>0</v>
      </c>
      <c r="F76" s="62">
        <v>84.86</v>
      </c>
      <c r="G76" s="63">
        <f t="shared" si="2"/>
        <v>59.402</v>
      </c>
      <c r="H76" s="64" t="s">
        <v>245</v>
      </c>
      <c r="I76" s="18"/>
      <c r="J76" s="25"/>
      <c r="K76" s="25"/>
      <c r="L76" s="25"/>
      <c r="M76" s="25"/>
      <c r="N76" s="17" t="str">
        <f>_xlfn.DISPIMG("ID_CCAABE6708F44A89B2F0A7566A3D1F37",1)</f>
        <v>=DISPIMG("ID_CCAABE6708F44A89B2F0A7566A3D1F37",1)</v>
      </c>
      <c r="O76" s="22"/>
    </row>
    <row r="77" ht="30" customHeight="1" spans="1:15">
      <c r="A77" s="9">
        <v>74</v>
      </c>
      <c r="B77" s="12">
        <v>21012036</v>
      </c>
      <c r="C77" s="12" t="s">
        <v>76</v>
      </c>
      <c r="D77" s="61">
        <v>88.72</v>
      </c>
      <c r="E77" s="12">
        <v>3</v>
      </c>
      <c r="F77" s="62">
        <v>91.72</v>
      </c>
      <c r="G77" s="63">
        <f t="shared" si="2"/>
        <v>64.204</v>
      </c>
      <c r="H77" s="64" t="s">
        <v>77</v>
      </c>
      <c r="I77" s="25" t="s">
        <v>355</v>
      </c>
      <c r="J77" s="25"/>
      <c r="K77" s="25"/>
      <c r="L77" s="25"/>
      <c r="M77" s="25"/>
      <c r="N77" s="3" t="str">
        <f>_xlfn.DISPIMG("ID_E3C72633E5B941D5977DB1E2202B8B33",1)</f>
        <v>=DISPIMG("ID_E3C72633E5B941D5977DB1E2202B8B33",1)</v>
      </c>
      <c r="O77" s="22"/>
    </row>
    <row r="78" ht="30" customHeight="1" spans="1:15">
      <c r="A78" s="9">
        <v>75</v>
      </c>
      <c r="B78" s="12">
        <v>21012041</v>
      </c>
      <c r="C78" s="12" t="s">
        <v>181</v>
      </c>
      <c r="D78" s="61">
        <v>87.72</v>
      </c>
      <c r="E78" s="12">
        <v>0.2</v>
      </c>
      <c r="F78" s="62">
        <v>87.92</v>
      </c>
      <c r="G78" s="63">
        <f t="shared" si="2"/>
        <v>61.544</v>
      </c>
      <c r="H78" s="64" t="s">
        <v>182</v>
      </c>
      <c r="I78" s="25" t="s">
        <v>356</v>
      </c>
      <c r="J78" s="25"/>
      <c r="K78" s="25"/>
      <c r="L78" s="25"/>
      <c r="M78" s="25"/>
      <c r="N78" s="17" t="str">
        <f>_xlfn.DISPIMG("ID_E0FCED2F2DEB41C6B605E08E2C89045C",1)</f>
        <v>=DISPIMG("ID_E0FCED2F2DEB41C6B605E08E2C89045C",1)</v>
      </c>
      <c r="O78" s="22"/>
    </row>
    <row r="79" ht="30" customHeight="1" spans="1:15">
      <c r="A79" s="9">
        <v>76</v>
      </c>
      <c r="B79" s="12">
        <v>21012046</v>
      </c>
      <c r="C79" s="12" t="s">
        <v>172</v>
      </c>
      <c r="D79" s="61">
        <v>87.34</v>
      </c>
      <c r="E79" s="12">
        <v>0</v>
      </c>
      <c r="F79" s="62">
        <v>87.34</v>
      </c>
      <c r="G79" s="63">
        <f t="shared" si="2"/>
        <v>61.138</v>
      </c>
      <c r="H79" s="64" t="s">
        <v>173</v>
      </c>
      <c r="I79" s="25"/>
      <c r="J79" s="25"/>
      <c r="K79" s="25"/>
      <c r="L79" s="25"/>
      <c r="M79" s="25"/>
      <c r="N79" s="17" t="str">
        <f>_xlfn.DISPIMG("ID_F73AAE817ADF4F6B8DCE25BF811B6C93",1)</f>
        <v>=DISPIMG("ID_F73AAE817ADF4F6B8DCE25BF811B6C93",1)</v>
      </c>
      <c r="O79" s="22"/>
    </row>
    <row r="80" ht="30" customHeight="1" spans="1:15">
      <c r="A80" s="9">
        <v>77</v>
      </c>
      <c r="B80" s="12">
        <v>21012051</v>
      </c>
      <c r="C80" s="12" t="s">
        <v>286</v>
      </c>
      <c r="D80" s="61">
        <v>82.28</v>
      </c>
      <c r="E80" s="12">
        <v>0</v>
      </c>
      <c r="F80" s="62">
        <v>82.28</v>
      </c>
      <c r="G80" s="63">
        <f t="shared" si="2"/>
        <v>57.596</v>
      </c>
      <c r="H80" s="64" t="s">
        <v>287</v>
      </c>
      <c r="I80" s="25"/>
      <c r="J80" s="25"/>
      <c r="K80" s="25"/>
      <c r="L80" s="25"/>
      <c r="M80" s="25"/>
      <c r="N80" s="17" t="str">
        <f>_xlfn.DISPIMG("ID_E7220DA372464661B5784B088A17B5C1",1)</f>
        <v>=DISPIMG("ID_E7220DA372464661B5784B088A17B5C1",1)</v>
      </c>
      <c r="O80" s="22"/>
    </row>
    <row r="81" ht="30" customHeight="1" spans="1:15">
      <c r="A81" s="9">
        <v>78</v>
      </c>
      <c r="B81" s="12">
        <v>21012057</v>
      </c>
      <c r="C81" s="12" t="s">
        <v>254</v>
      </c>
      <c r="D81" s="61">
        <v>85.14</v>
      </c>
      <c r="E81" s="12">
        <v>0</v>
      </c>
      <c r="F81" s="62">
        <v>85.14</v>
      </c>
      <c r="G81" s="63">
        <f t="shared" si="2"/>
        <v>59.598</v>
      </c>
      <c r="H81" s="64" t="s">
        <v>237</v>
      </c>
      <c r="I81" s="25"/>
      <c r="J81" s="25"/>
      <c r="K81" s="25"/>
      <c r="L81" s="25"/>
      <c r="M81" s="25"/>
      <c r="N81" s="3" t="str">
        <f>_xlfn.DISPIMG("ID_FA7DCD9E0FCF4766BC752710075E8685",1)</f>
        <v>=DISPIMG("ID_FA7DCD9E0FCF4766BC752710075E8685",1)</v>
      </c>
      <c r="O81" s="22"/>
    </row>
    <row r="82" ht="30" customHeight="1" spans="1:15">
      <c r="A82" s="9">
        <v>79</v>
      </c>
      <c r="B82" s="12">
        <v>21012067</v>
      </c>
      <c r="C82" s="12" t="s">
        <v>261</v>
      </c>
      <c r="D82" s="61">
        <v>84.66</v>
      </c>
      <c r="E82" s="12">
        <v>0</v>
      </c>
      <c r="F82" s="62">
        <v>84.66</v>
      </c>
      <c r="G82" s="63">
        <f t="shared" si="2"/>
        <v>59.262</v>
      </c>
      <c r="H82" s="64" t="s">
        <v>262</v>
      </c>
      <c r="I82" s="25"/>
      <c r="J82" s="25"/>
      <c r="K82" s="25"/>
      <c r="L82" s="25"/>
      <c r="M82" s="25"/>
      <c r="N82" s="17" t="str">
        <f>_xlfn.DISPIMG("ID_57F86513A98E4AB7B581DB6654B03156",1)</f>
        <v>=DISPIMG("ID_57F86513A98E4AB7B581DB6654B03156",1)</v>
      </c>
      <c r="O82" s="22"/>
    </row>
    <row r="83" ht="30" customHeight="1" spans="1:15">
      <c r="A83" s="9">
        <v>80</v>
      </c>
      <c r="B83" s="12">
        <v>21012075</v>
      </c>
      <c r="C83" s="12" t="s">
        <v>163</v>
      </c>
      <c r="D83" s="61">
        <v>88.86</v>
      </c>
      <c r="E83" s="12">
        <v>0</v>
      </c>
      <c r="F83" s="62">
        <v>88.86</v>
      </c>
      <c r="G83" s="63">
        <f t="shared" si="2"/>
        <v>62.202</v>
      </c>
      <c r="H83" s="64" t="s">
        <v>164</v>
      </c>
      <c r="I83" s="25"/>
      <c r="J83" s="25"/>
      <c r="K83" s="25"/>
      <c r="L83" s="25"/>
      <c r="M83" s="25"/>
      <c r="N83" s="17" t="str">
        <f>_xlfn.DISPIMG("ID_E55ED0FBFF8C4C36AD5E8040B517A55F",1)</f>
        <v>=DISPIMG("ID_E55ED0FBFF8C4C36AD5E8040B517A55F",1)</v>
      </c>
      <c r="O83" s="22"/>
    </row>
    <row r="84" ht="30" customHeight="1" spans="1:15">
      <c r="A84" s="9">
        <v>81</v>
      </c>
      <c r="B84" s="12">
        <v>21012077</v>
      </c>
      <c r="C84" s="12" t="s">
        <v>314</v>
      </c>
      <c r="D84" s="61">
        <v>70.78</v>
      </c>
      <c r="E84" s="12">
        <v>0</v>
      </c>
      <c r="F84" s="62">
        <v>70.78</v>
      </c>
      <c r="G84" s="63">
        <f t="shared" si="2"/>
        <v>49.546</v>
      </c>
      <c r="H84" s="64" t="s">
        <v>315</v>
      </c>
      <c r="I84" s="25"/>
      <c r="J84" s="25"/>
      <c r="K84" s="25"/>
      <c r="L84" s="25"/>
      <c r="M84" s="25"/>
      <c r="N84" s="17" t="str">
        <f>_xlfn.DISPIMG("ID_FFC24DFD76BD47D1A1D7BC42BA0132F7",1)</f>
        <v>=DISPIMG("ID_FFC24DFD76BD47D1A1D7BC42BA0132F7",1)</v>
      </c>
      <c r="O84" s="22"/>
    </row>
    <row r="85" ht="30" customHeight="1" spans="1:15">
      <c r="A85" s="9">
        <v>82</v>
      </c>
      <c r="B85" s="12">
        <v>21012081</v>
      </c>
      <c r="C85" s="12" t="s">
        <v>312</v>
      </c>
      <c r="D85" s="61">
        <v>72.55</v>
      </c>
      <c r="E85" s="12">
        <v>0</v>
      </c>
      <c r="F85" s="62">
        <v>72.55</v>
      </c>
      <c r="G85" s="63">
        <f t="shared" si="2"/>
        <v>50.785</v>
      </c>
      <c r="H85" s="64" t="s">
        <v>313</v>
      </c>
      <c r="I85" s="25"/>
      <c r="J85" s="25"/>
      <c r="K85" s="25"/>
      <c r="L85" s="25"/>
      <c r="M85" s="25"/>
      <c r="N85" s="3" t="str">
        <f>_xlfn.DISPIMG("ID_587A746376F5497886009B276B01E484",1)</f>
        <v>=DISPIMG("ID_587A746376F5497886009B276B01E484",1)</v>
      </c>
      <c r="O85" s="22"/>
    </row>
    <row r="86" ht="30" customHeight="1" spans="1:15">
      <c r="A86" s="9">
        <v>83</v>
      </c>
      <c r="B86" s="12">
        <v>21012086</v>
      </c>
      <c r="C86" s="12" t="s">
        <v>107</v>
      </c>
      <c r="D86" s="61">
        <v>90.14</v>
      </c>
      <c r="E86" s="12">
        <v>1</v>
      </c>
      <c r="F86" s="62">
        <v>91.14</v>
      </c>
      <c r="G86" s="63">
        <f t="shared" si="2"/>
        <v>63.798</v>
      </c>
      <c r="H86" s="64" t="s">
        <v>108</v>
      </c>
      <c r="I86" s="25" t="s">
        <v>357</v>
      </c>
      <c r="J86" s="25"/>
      <c r="K86" s="25"/>
      <c r="L86" s="25"/>
      <c r="M86" s="25"/>
      <c r="N86" s="26" t="str">
        <f>_xlfn.DISPIMG("ID_DCB4D494674949C4A100A29A4E36CD24",1)</f>
        <v>=DISPIMG("ID_DCB4D494674949C4A100A29A4E36CD24",1)</v>
      </c>
      <c r="O86" s="22"/>
    </row>
    <row r="87" ht="30" customHeight="1" spans="1:15">
      <c r="A87" s="9">
        <v>84</v>
      </c>
      <c r="B87" s="12">
        <v>21012092</v>
      </c>
      <c r="C87" s="12" t="s">
        <v>123</v>
      </c>
      <c r="D87" s="61">
        <v>89.21</v>
      </c>
      <c r="E87" s="12">
        <v>0</v>
      </c>
      <c r="F87" s="62">
        <v>89.21</v>
      </c>
      <c r="G87" s="63">
        <f t="shared" si="2"/>
        <v>62.447</v>
      </c>
      <c r="H87" s="64" t="s">
        <v>124</v>
      </c>
      <c r="I87" s="25"/>
      <c r="J87" s="25"/>
      <c r="K87" s="25"/>
      <c r="L87" s="25"/>
      <c r="M87" s="25"/>
      <c r="N87" s="3" t="str">
        <f>_xlfn.DISPIMG("ID_639461AE4D984CEBA92CD54B362CDAE5",1)</f>
        <v>=DISPIMG("ID_639461AE4D984CEBA92CD54B362CDAE5",1)</v>
      </c>
      <c r="O87" s="22"/>
    </row>
    <row r="88" ht="30" customHeight="1" spans="1:15">
      <c r="A88" s="9">
        <v>85</v>
      </c>
      <c r="B88" s="12">
        <v>21012099</v>
      </c>
      <c r="C88" s="12" t="s">
        <v>205</v>
      </c>
      <c r="D88" s="61">
        <v>84.52</v>
      </c>
      <c r="E88" s="12">
        <v>2</v>
      </c>
      <c r="F88" s="62">
        <v>86.52</v>
      </c>
      <c r="G88" s="63">
        <f t="shared" si="2"/>
        <v>60.564</v>
      </c>
      <c r="H88" s="64" t="s">
        <v>206</v>
      </c>
      <c r="I88" s="25" t="s">
        <v>358</v>
      </c>
      <c r="J88" s="25"/>
      <c r="K88" s="25"/>
      <c r="L88" s="25"/>
      <c r="M88" s="25"/>
      <c r="N88" s="3" t="str">
        <f>_xlfn.DISPIMG("ID_30738FA729EB46418B327987370EB489",1)</f>
        <v>=DISPIMG("ID_30738FA729EB46418B327987370EB489",1)</v>
      </c>
      <c r="O88" s="22"/>
    </row>
    <row r="89" ht="30" customHeight="1" spans="1:15">
      <c r="A89" s="9">
        <v>86</v>
      </c>
      <c r="B89" s="12">
        <v>21012104</v>
      </c>
      <c r="C89" s="12" t="s">
        <v>213</v>
      </c>
      <c r="D89" s="61">
        <v>84.86</v>
      </c>
      <c r="E89" s="12">
        <v>1</v>
      </c>
      <c r="F89" s="62">
        <v>85.86</v>
      </c>
      <c r="G89" s="63">
        <f t="shared" si="2"/>
        <v>60.102</v>
      </c>
      <c r="H89" s="64" t="s">
        <v>214</v>
      </c>
      <c r="I89" s="25" t="s">
        <v>359</v>
      </c>
      <c r="J89" s="25"/>
      <c r="K89" s="25"/>
      <c r="L89" s="25"/>
      <c r="M89" s="25"/>
      <c r="N89" s="17" t="str">
        <f>_xlfn.DISPIMG("ID_B25B0CA5DF054676ABFE5319271FC946",1)</f>
        <v>=DISPIMG("ID_B25B0CA5DF054676ABFE5319271FC946",1)</v>
      </c>
      <c r="O89" s="22"/>
    </row>
    <row r="90" ht="30" customHeight="1" spans="1:15">
      <c r="A90" s="9">
        <v>87</v>
      </c>
      <c r="B90" s="12">
        <v>21012109</v>
      </c>
      <c r="C90" s="12" t="s">
        <v>50</v>
      </c>
      <c r="D90" s="61">
        <v>88.97</v>
      </c>
      <c r="E90" s="12">
        <v>6</v>
      </c>
      <c r="F90" s="62">
        <v>94.97</v>
      </c>
      <c r="G90" s="63">
        <f t="shared" si="2"/>
        <v>66.479</v>
      </c>
      <c r="H90" s="64" t="s">
        <v>51</v>
      </c>
      <c r="I90" s="18" t="s">
        <v>360</v>
      </c>
      <c r="J90" s="25"/>
      <c r="K90" s="25"/>
      <c r="L90" s="25"/>
      <c r="M90" s="25"/>
      <c r="N90" s="3" t="str">
        <f>_xlfn.DISPIMG("ID_E25EC9CECEC042F89E171D8582269DEF",1)</f>
        <v>=DISPIMG("ID_E25EC9CECEC042F89E171D8582269DEF",1)</v>
      </c>
      <c r="O90" s="22"/>
    </row>
    <row r="91" ht="30" customHeight="1" spans="1:15">
      <c r="A91" s="9">
        <v>88</v>
      </c>
      <c r="B91" s="12">
        <v>21012112</v>
      </c>
      <c r="C91" s="12" t="s">
        <v>137</v>
      </c>
      <c r="D91" s="61">
        <v>87.76</v>
      </c>
      <c r="E91" s="12">
        <v>0</v>
      </c>
      <c r="F91" s="62">
        <v>87.76</v>
      </c>
      <c r="G91" s="63">
        <f t="shared" si="2"/>
        <v>61.432</v>
      </c>
      <c r="H91" s="64" t="s">
        <v>138</v>
      </c>
      <c r="I91" s="25"/>
      <c r="J91" s="25"/>
      <c r="K91" s="25"/>
      <c r="L91" s="25"/>
      <c r="M91" s="25"/>
      <c r="N91" s="17" t="str">
        <f>_xlfn.DISPIMG("ID_21B1138ED52847FA97BE25B9BACEAF48",1)</f>
        <v>=DISPIMG("ID_21B1138ED52847FA97BE25B9BACEAF48",1)</v>
      </c>
      <c r="O91" s="22"/>
    </row>
    <row r="92" ht="30" customHeight="1" spans="1:15">
      <c r="A92" s="9">
        <v>89</v>
      </c>
      <c r="B92" s="12">
        <v>21012118</v>
      </c>
      <c r="C92" s="12" t="s">
        <v>109</v>
      </c>
      <c r="D92" s="61">
        <v>90.66</v>
      </c>
      <c r="E92" s="12">
        <v>0</v>
      </c>
      <c r="F92" s="62">
        <v>90.66</v>
      </c>
      <c r="G92" s="63">
        <f t="shared" si="2"/>
        <v>63.462</v>
      </c>
      <c r="H92" s="64" t="s">
        <v>110</v>
      </c>
      <c r="I92" s="25"/>
      <c r="J92" s="25"/>
      <c r="K92" s="25"/>
      <c r="L92" s="25"/>
      <c r="M92" s="25"/>
      <c r="N92" s="3" t="str">
        <f>_xlfn.DISPIMG("ID_03A8F5EE49B046BC8363E327758CB657",1)</f>
        <v>=DISPIMG("ID_03A8F5EE49B046BC8363E327758CB657",1)</v>
      </c>
      <c r="O92" s="22"/>
    </row>
    <row r="93" ht="30" customHeight="1" spans="1:15">
      <c r="A93" s="9">
        <v>90</v>
      </c>
      <c r="B93" s="12">
        <v>21012123</v>
      </c>
      <c r="C93" s="12" t="s">
        <v>263</v>
      </c>
      <c r="D93" s="61">
        <v>83.07</v>
      </c>
      <c r="E93" s="12">
        <v>0</v>
      </c>
      <c r="F93" s="62">
        <v>83.07</v>
      </c>
      <c r="G93" s="63">
        <f t="shared" si="2"/>
        <v>58.149</v>
      </c>
      <c r="H93" s="64" t="s">
        <v>264</v>
      </c>
      <c r="I93" s="25"/>
      <c r="J93" s="25"/>
      <c r="K93" s="25"/>
      <c r="L93" s="25"/>
      <c r="M93" s="25"/>
      <c r="N93" s="17" t="str">
        <f>_xlfn.DISPIMG("ID_A321F4FDB3B842EF97BD9F23CFCD76DD",1)</f>
        <v>=DISPIMG("ID_A321F4FDB3B842EF97BD9F23CFCD76DD",1)</v>
      </c>
      <c r="O93" s="22"/>
    </row>
    <row r="94" ht="30" customHeight="1" spans="1:15">
      <c r="A94" s="9">
        <v>91</v>
      </c>
      <c r="B94" s="12">
        <v>21012134</v>
      </c>
      <c r="C94" s="12" t="s">
        <v>211</v>
      </c>
      <c r="D94" s="61">
        <v>86.17</v>
      </c>
      <c r="E94" s="12">
        <v>1</v>
      </c>
      <c r="F94" s="62">
        <v>87.17</v>
      </c>
      <c r="G94" s="63">
        <f t="shared" si="2"/>
        <v>61.019</v>
      </c>
      <c r="H94" s="64" t="s">
        <v>212</v>
      </c>
      <c r="I94" s="25" t="s">
        <v>361</v>
      </c>
      <c r="J94" s="25"/>
      <c r="K94" s="25"/>
      <c r="L94" s="25"/>
      <c r="M94" s="25"/>
      <c r="N94" s="17" t="str">
        <f>_xlfn.DISPIMG("ID_480A6F979C4E402E984ED5572520B8D5",1)</f>
        <v>=DISPIMG("ID_480A6F979C4E402E984ED5572520B8D5",1)</v>
      </c>
      <c r="O94" s="22"/>
    </row>
    <row r="95" ht="30" customHeight="1" spans="1:15">
      <c r="A95" s="9">
        <v>92</v>
      </c>
      <c r="B95" s="12">
        <v>21012145</v>
      </c>
      <c r="C95" s="12" t="s">
        <v>230</v>
      </c>
      <c r="D95" s="61">
        <v>85.28</v>
      </c>
      <c r="E95" s="12">
        <v>0</v>
      </c>
      <c r="F95" s="62">
        <v>85.28</v>
      </c>
      <c r="G95" s="63">
        <f t="shared" si="2"/>
        <v>59.696</v>
      </c>
      <c r="H95" s="64" t="s">
        <v>231</v>
      </c>
      <c r="I95" s="25"/>
      <c r="J95" s="25"/>
      <c r="K95" s="25"/>
      <c r="L95" s="25"/>
      <c r="M95" s="25"/>
      <c r="N95" s="17" t="str">
        <f>_xlfn.DISPIMG("ID_A8E5F529AFA74A0BA50B109E42ED5D8B",1)</f>
        <v>=DISPIMG("ID_A8E5F529AFA74A0BA50B109E42ED5D8B",1)</v>
      </c>
      <c r="O95" s="22"/>
    </row>
    <row r="96" ht="30" customHeight="1" spans="1:15">
      <c r="A96" s="9">
        <v>93</v>
      </c>
      <c r="B96" s="12">
        <v>21012152</v>
      </c>
      <c r="C96" s="12" t="s">
        <v>179</v>
      </c>
      <c r="D96" s="61">
        <v>87.24</v>
      </c>
      <c r="E96" s="12">
        <v>0</v>
      </c>
      <c r="F96" s="62">
        <v>87.24</v>
      </c>
      <c r="G96" s="63">
        <f t="shared" si="2"/>
        <v>61.068</v>
      </c>
      <c r="H96" s="64" t="s">
        <v>180</v>
      </c>
      <c r="I96" s="25"/>
      <c r="J96" s="25"/>
      <c r="K96" s="25"/>
      <c r="L96" s="25"/>
      <c r="M96" s="25"/>
      <c r="N96" s="3" t="str">
        <f>_xlfn.DISPIMG("ID_9BCDD1B0C04A49BF9DE8056658015A4B",1)</f>
        <v>=DISPIMG("ID_9BCDD1B0C04A49BF9DE8056658015A4B",1)</v>
      </c>
      <c r="O96" s="22"/>
    </row>
    <row r="97" ht="30" customHeight="1" spans="1:15">
      <c r="A97" s="9">
        <v>94</v>
      </c>
      <c r="B97" s="12">
        <v>21012156</v>
      </c>
      <c r="C97" s="12" t="s">
        <v>234</v>
      </c>
      <c r="D97" s="61">
        <v>85.79</v>
      </c>
      <c r="E97" s="12">
        <v>0</v>
      </c>
      <c r="F97" s="62">
        <v>85.79</v>
      </c>
      <c r="G97" s="63">
        <f t="shared" si="2"/>
        <v>60.053</v>
      </c>
      <c r="H97" s="64" t="s">
        <v>235</v>
      </c>
      <c r="I97" s="25"/>
      <c r="J97" s="25"/>
      <c r="K97" s="25"/>
      <c r="L97" s="25"/>
      <c r="M97" s="25"/>
      <c r="N97" s="17" t="str">
        <f>_xlfn.DISPIMG("ID_6436E0539C654818AA5F6094AA0017F5",1)</f>
        <v>=DISPIMG("ID_6436E0539C654818AA5F6094AA0017F5",1)</v>
      </c>
      <c r="O97" s="22"/>
    </row>
    <row r="98" ht="30" customHeight="1" spans="1:15">
      <c r="A98" s="9">
        <v>95</v>
      </c>
      <c r="B98" s="12">
        <v>21012157</v>
      </c>
      <c r="C98" s="12" t="s">
        <v>184</v>
      </c>
      <c r="D98" s="61">
        <v>87.31</v>
      </c>
      <c r="E98" s="12">
        <v>0</v>
      </c>
      <c r="F98" s="62">
        <v>87.31</v>
      </c>
      <c r="G98" s="63">
        <f t="shared" si="2"/>
        <v>61.117</v>
      </c>
      <c r="H98" s="64" t="s">
        <v>185</v>
      </c>
      <c r="I98" s="25"/>
      <c r="J98" s="25"/>
      <c r="K98" s="25"/>
      <c r="L98" s="25"/>
      <c r="M98" s="25"/>
      <c r="N98" s="17" t="str">
        <f>_xlfn.DISPIMG("ID_397A931FA5EB4BF990AA2E30B01BF5A1",1)</f>
        <v>=DISPIMG("ID_397A931FA5EB4BF990AA2E30B01BF5A1",1)</v>
      </c>
      <c r="O98" s="22"/>
    </row>
    <row r="99" ht="30" customHeight="1" spans="1:15">
      <c r="A99" s="9">
        <v>96</v>
      </c>
      <c r="B99" s="9">
        <v>21012005</v>
      </c>
      <c r="C99" s="9" t="s">
        <v>56</v>
      </c>
      <c r="D99" s="61">
        <v>89.76</v>
      </c>
      <c r="E99" s="9">
        <v>10</v>
      </c>
      <c r="F99" s="62">
        <v>99.76</v>
      </c>
      <c r="G99" s="63">
        <f t="shared" si="2"/>
        <v>69.832</v>
      </c>
      <c r="H99" s="64" t="s">
        <v>57</v>
      </c>
      <c r="I99" s="91" t="s">
        <v>362</v>
      </c>
      <c r="J99" s="92"/>
      <c r="K99" s="92"/>
      <c r="L99" s="92"/>
      <c r="M99" s="93"/>
      <c r="N99" s="17" t="str">
        <f>_xlfn.DISPIMG("ID_77EEE50D838843DC9C4910B7ADB0C470",1)</f>
        <v>=DISPIMG("ID_77EEE50D838843DC9C4910B7ADB0C470",1)</v>
      </c>
      <c r="O99" s="22"/>
    </row>
    <row r="100" ht="30" customHeight="1" spans="1:15">
      <c r="A100" s="9">
        <v>97</v>
      </c>
      <c r="B100" s="9">
        <v>21012008</v>
      </c>
      <c r="C100" s="9" t="s">
        <v>52</v>
      </c>
      <c r="D100" s="61">
        <v>91.52</v>
      </c>
      <c r="E100" s="9">
        <v>8</v>
      </c>
      <c r="F100" s="62">
        <v>99.52</v>
      </c>
      <c r="G100" s="63">
        <f t="shared" si="2"/>
        <v>69.664</v>
      </c>
      <c r="H100" s="64" t="s">
        <v>53</v>
      </c>
      <c r="I100" s="94" t="s">
        <v>363</v>
      </c>
      <c r="J100" s="95"/>
      <c r="K100" s="95"/>
      <c r="L100" s="95"/>
      <c r="M100" s="96"/>
      <c r="N100" s="17" t="str">
        <f>_xlfn.DISPIMG("ID_744E1C5EA7C24468960DAA33BBC558BE",1)</f>
        <v>=DISPIMG("ID_744E1C5EA7C24468960DAA33BBC558BE",1)</v>
      </c>
      <c r="O100" s="22"/>
    </row>
    <row r="101" ht="30" customHeight="1" spans="1:15">
      <c r="A101" s="9">
        <v>98</v>
      </c>
      <c r="B101" s="9">
        <v>21012015</v>
      </c>
      <c r="C101" s="9" t="s">
        <v>62</v>
      </c>
      <c r="D101" s="61">
        <v>89.41</v>
      </c>
      <c r="E101" s="9">
        <v>6</v>
      </c>
      <c r="F101" s="62">
        <v>95.41</v>
      </c>
      <c r="G101" s="63">
        <f t="shared" ref="G101:G132" si="3">F101*0.7</f>
        <v>66.787</v>
      </c>
      <c r="H101" s="64" t="s">
        <v>63</v>
      </c>
      <c r="I101" s="97" t="s">
        <v>364</v>
      </c>
      <c r="J101" s="98"/>
      <c r="K101" s="98"/>
      <c r="L101" s="98"/>
      <c r="M101" s="99"/>
      <c r="N101" s="17" t="str">
        <f>_xlfn.DISPIMG("ID_D5D0B59EACA34595AA20E89475C9ECB8",1)</f>
        <v>=DISPIMG("ID_D5D0B59EACA34595AA20E89475C9ECB8",1)</v>
      </c>
      <c r="O101" s="22"/>
    </row>
    <row r="102" ht="30" customHeight="1" spans="1:15">
      <c r="A102" s="9">
        <v>99</v>
      </c>
      <c r="B102" s="9">
        <v>21012018</v>
      </c>
      <c r="C102" s="9" t="s">
        <v>34</v>
      </c>
      <c r="D102" s="61">
        <v>92.97</v>
      </c>
      <c r="E102" s="9">
        <v>10</v>
      </c>
      <c r="F102" s="62">
        <v>102.97</v>
      </c>
      <c r="G102" s="63">
        <f t="shared" si="3"/>
        <v>72.079</v>
      </c>
      <c r="H102" s="64" t="s">
        <v>35</v>
      </c>
      <c r="I102" s="94" t="s">
        <v>365</v>
      </c>
      <c r="J102" s="95"/>
      <c r="K102" s="95"/>
      <c r="L102" s="95"/>
      <c r="M102" s="96"/>
      <c r="N102" s="17" t="str">
        <f>_xlfn.DISPIMG("ID_CAFEA503AF144665922C4D183E2D96BA",1)</f>
        <v>=DISPIMG("ID_CAFEA503AF144665922C4D183E2D96BA",1)</v>
      </c>
      <c r="O102" s="22"/>
    </row>
    <row r="103" ht="30" customHeight="1" spans="1:15">
      <c r="A103" s="9">
        <v>100</v>
      </c>
      <c r="B103" s="9">
        <v>21012026</v>
      </c>
      <c r="C103" s="9" t="s">
        <v>30</v>
      </c>
      <c r="D103" s="61">
        <v>95.1</v>
      </c>
      <c r="E103" s="9">
        <v>10</v>
      </c>
      <c r="F103" s="62">
        <v>105.1</v>
      </c>
      <c r="G103" s="63">
        <f t="shared" si="3"/>
        <v>73.57</v>
      </c>
      <c r="H103" s="64" t="s">
        <v>31</v>
      </c>
      <c r="I103" s="91" t="s">
        <v>366</v>
      </c>
      <c r="J103" s="92"/>
      <c r="K103" s="92"/>
      <c r="L103" s="92"/>
      <c r="M103" s="93"/>
      <c r="N103" s="17" t="str">
        <f>_xlfn.DISPIMG("ID_175BC80E5D244DEA8E89C69806690501",1)</f>
        <v>=DISPIMG("ID_175BC80E5D244DEA8E89C69806690501",1)</v>
      </c>
      <c r="O103" s="22"/>
    </row>
    <row r="104" ht="30" customHeight="1" spans="1:15">
      <c r="A104" s="9">
        <v>101</v>
      </c>
      <c r="B104" s="9">
        <v>21012029</v>
      </c>
      <c r="C104" s="9" t="s">
        <v>46</v>
      </c>
      <c r="D104" s="61">
        <v>93.48</v>
      </c>
      <c r="E104" s="9">
        <v>10</v>
      </c>
      <c r="F104" s="62">
        <v>103.48</v>
      </c>
      <c r="G104" s="63">
        <f t="shared" si="3"/>
        <v>72.436</v>
      </c>
      <c r="H104" s="64" t="s">
        <v>47</v>
      </c>
      <c r="I104" s="91" t="s">
        <v>367</v>
      </c>
      <c r="J104" s="92"/>
      <c r="K104" s="92"/>
      <c r="L104" s="92"/>
      <c r="M104" s="93"/>
      <c r="N104" s="17" t="str">
        <f>_xlfn.DISPIMG("ID_ECD49A0479BE4A9EBA14814787668E30",1)</f>
        <v>=DISPIMG("ID_ECD49A0479BE4A9EBA14814787668E30",1)</v>
      </c>
      <c r="O104" s="22"/>
    </row>
    <row r="105" ht="30" customHeight="1" spans="1:15">
      <c r="A105" s="9">
        <v>102</v>
      </c>
      <c r="B105" s="9">
        <v>21012037</v>
      </c>
      <c r="C105" s="9" t="s">
        <v>88</v>
      </c>
      <c r="D105" s="61">
        <v>90.17</v>
      </c>
      <c r="E105" s="9">
        <v>0</v>
      </c>
      <c r="F105" s="62">
        <v>90.17</v>
      </c>
      <c r="G105" s="63">
        <f t="shared" si="3"/>
        <v>63.119</v>
      </c>
      <c r="H105" s="64" t="s">
        <v>89</v>
      </c>
      <c r="I105" s="100"/>
      <c r="J105" s="101"/>
      <c r="K105" s="101"/>
      <c r="L105" s="101"/>
      <c r="M105" s="102"/>
      <c r="N105" s="17" t="str">
        <f>_xlfn.DISPIMG("ID_C796B9D6D56746DB9129A3CFAEB4C426",1)</f>
        <v>=DISPIMG("ID_C796B9D6D56746DB9129A3CFAEB4C426",1)</v>
      </c>
      <c r="O105" s="22"/>
    </row>
    <row r="106" ht="30" customHeight="1" spans="1:15">
      <c r="A106" s="9">
        <v>103</v>
      </c>
      <c r="B106" s="9">
        <v>21012040</v>
      </c>
      <c r="C106" s="9" t="s">
        <v>269</v>
      </c>
      <c r="D106" s="61">
        <v>83.31</v>
      </c>
      <c r="E106" s="9">
        <v>0</v>
      </c>
      <c r="F106" s="62">
        <v>83.31</v>
      </c>
      <c r="G106" s="63">
        <f t="shared" si="3"/>
        <v>58.317</v>
      </c>
      <c r="H106" s="64" t="s">
        <v>270</v>
      </c>
      <c r="I106" s="100"/>
      <c r="J106" s="101"/>
      <c r="K106" s="101"/>
      <c r="L106" s="101"/>
      <c r="M106" s="102"/>
      <c r="N106" s="17" t="str">
        <f>_xlfn.DISPIMG("ID_B59E3BB764504FCCA5BDB03D0B8EB06E",1)</f>
        <v>=DISPIMG("ID_B59E3BB764504FCCA5BDB03D0B8EB06E",1)</v>
      </c>
      <c r="O106" s="22"/>
    </row>
    <row r="107" ht="30" customHeight="1" spans="1:15">
      <c r="A107" s="9">
        <v>104</v>
      </c>
      <c r="B107" s="9">
        <v>21012047</v>
      </c>
      <c r="C107" s="9" t="s">
        <v>306</v>
      </c>
      <c r="D107" s="61">
        <v>75.74</v>
      </c>
      <c r="E107" s="9">
        <v>0</v>
      </c>
      <c r="F107" s="62">
        <v>75.74</v>
      </c>
      <c r="G107" s="63">
        <f t="shared" si="3"/>
        <v>53.018</v>
      </c>
      <c r="H107" s="64" t="s">
        <v>307</v>
      </c>
      <c r="I107" s="100"/>
      <c r="J107" s="101"/>
      <c r="K107" s="101"/>
      <c r="L107" s="101"/>
      <c r="M107" s="102"/>
      <c r="N107" s="17" t="str">
        <f>_xlfn.DISPIMG("ID_DBF44D1DAE9E4AF08EE756ACCDB3D85A",1)</f>
        <v>=DISPIMG("ID_DBF44D1DAE9E4AF08EE756ACCDB3D85A",1)</v>
      </c>
      <c r="O107" s="22"/>
    </row>
    <row r="108" ht="30" customHeight="1" spans="1:15">
      <c r="A108" s="9">
        <v>105</v>
      </c>
      <c r="B108" s="9">
        <v>21012050</v>
      </c>
      <c r="C108" s="9" t="s">
        <v>282</v>
      </c>
      <c r="D108" s="61">
        <v>83.28</v>
      </c>
      <c r="E108" s="9">
        <v>0</v>
      </c>
      <c r="F108" s="62">
        <v>83.28</v>
      </c>
      <c r="G108" s="63">
        <f t="shared" si="3"/>
        <v>58.296</v>
      </c>
      <c r="H108" s="64" t="s">
        <v>283</v>
      </c>
      <c r="I108" s="100"/>
      <c r="J108" s="101"/>
      <c r="K108" s="101"/>
      <c r="L108" s="101"/>
      <c r="M108" s="102"/>
      <c r="N108" s="17" t="str">
        <f>_xlfn.DISPIMG("ID_7450C870FD8D4066BC3A8EEF5A09FD68",1)</f>
        <v>=DISPIMG("ID_7450C870FD8D4066BC3A8EEF5A09FD68",1)</v>
      </c>
      <c r="O108" s="22"/>
    </row>
    <row r="109" ht="30" customHeight="1" spans="1:15">
      <c r="A109" s="9">
        <v>106</v>
      </c>
      <c r="B109" s="9">
        <v>21012058</v>
      </c>
      <c r="C109" s="9" t="s">
        <v>246</v>
      </c>
      <c r="D109" s="61">
        <v>84.93</v>
      </c>
      <c r="E109" s="9">
        <v>0</v>
      </c>
      <c r="F109" s="62">
        <v>84.93</v>
      </c>
      <c r="G109" s="63">
        <f t="shared" si="3"/>
        <v>59.451</v>
      </c>
      <c r="H109" s="64" t="s">
        <v>247</v>
      </c>
      <c r="I109" s="100"/>
      <c r="J109" s="101"/>
      <c r="K109" s="101"/>
      <c r="L109" s="101"/>
      <c r="M109" s="102"/>
      <c r="N109" s="17" t="str">
        <f>_xlfn.DISPIMG("ID_CB16E147D4A4458AAC9B9E42A98B4F60",1)</f>
        <v>=DISPIMG("ID_CB16E147D4A4458AAC9B9E42A98B4F60",1)</v>
      </c>
      <c r="O109" s="22"/>
    </row>
    <row r="110" ht="30" customHeight="1" spans="1:15">
      <c r="A110" s="9">
        <v>107</v>
      </c>
      <c r="B110" s="9">
        <v>21012061</v>
      </c>
      <c r="C110" s="9" t="s">
        <v>243</v>
      </c>
      <c r="D110" s="61">
        <v>84.52</v>
      </c>
      <c r="E110" s="9">
        <v>0</v>
      </c>
      <c r="F110" s="62">
        <v>84.52</v>
      </c>
      <c r="G110" s="63">
        <f t="shared" si="3"/>
        <v>59.164</v>
      </c>
      <c r="H110" s="64" t="s">
        <v>226</v>
      </c>
      <c r="I110" s="100"/>
      <c r="J110" s="101"/>
      <c r="K110" s="101"/>
      <c r="L110" s="101"/>
      <c r="M110" s="102"/>
      <c r="N110" s="17" t="str">
        <f>_xlfn.DISPIMG("ID_55EB950D551E4CB4A91898872C5A3472",1)</f>
        <v>=DISPIMG("ID_55EB950D551E4CB4A91898872C5A3472",1)</v>
      </c>
      <c r="O110" s="22"/>
    </row>
    <row r="111" ht="30" customHeight="1" spans="1:15">
      <c r="A111" s="9">
        <v>108</v>
      </c>
      <c r="B111" s="9">
        <v>21012069</v>
      </c>
      <c r="C111" s="9" t="s">
        <v>127</v>
      </c>
      <c r="D111" s="61">
        <v>90.28</v>
      </c>
      <c r="E111" s="9">
        <v>0</v>
      </c>
      <c r="F111" s="62">
        <v>90.28</v>
      </c>
      <c r="G111" s="63">
        <f t="shared" si="3"/>
        <v>63.196</v>
      </c>
      <c r="H111" s="64" t="s">
        <v>128</v>
      </c>
      <c r="I111" s="100"/>
      <c r="J111" s="101"/>
      <c r="K111" s="101"/>
      <c r="L111" s="101"/>
      <c r="M111" s="102"/>
      <c r="N111" s="17" t="str">
        <f>_xlfn.DISPIMG("ID_57EB71BD5653469AB53E9E5DABE76D29",1)</f>
        <v>=DISPIMG("ID_57EB71BD5653469AB53E9E5DABE76D29",1)</v>
      </c>
      <c r="O111" s="22"/>
    </row>
    <row r="112" ht="30" customHeight="1" spans="1:15">
      <c r="A112" s="9">
        <v>109</v>
      </c>
      <c r="B112" s="9">
        <v>21012073</v>
      </c>
      <c r="C112" s="9" t="s">
        <v>111</v>
      </c>
      <c r="D112" s="61">
        <v>88.93</v>
      </c>
      <c r="E112" s="9">
        <v>2</v>
      </c>
      <c r="F112" s="62">
        <v>90.93</v>
      </c>
      <c r="G112" s="63">
        <f t="shared" si="3"/>
        <v>63.651</v>
      </c>
      <c r="H112" s="64" t="s">
        <v>112</v>
      </c>
      <c r="I112" s="97" t="s">
        <v>368</v>
      </c>
      <c r="J112" s="98"/>
      <c r="K112" s="98"/>
      <c r="L112" s="98"/>
      <c r="M112" s="99"/>
      <c r="N112" s="17" t="str">
        <f>_xlfn.DISPIMG("ID_60868A461C5C4ABFAAD8E77119EC4B7D",1)</f>
        <v>=DISPIMG("ID_60868A461C5C4ABFAAD8E77119EC4B7D",1)</v>
      </c>
      <c r="O112" s="22"/>
    </row>
    <row r="113" ht="30" customHeight="1" spans="1:15">
      <c r="A113" s="9">
        <v>110</v>
      </c>
      <c r="B113" s="9">
        <v>21012082</v>
      </c>
      <c r="C113" s="9" t="s">
        <v>84</v>
      </c>
      <c r="D113" s="61">
        <v>89.41</v>
      </c>
      <c r="E113" s="9">
        <v>4</v>
      </c>
      <c r="F113" s="62">
        <v>93.41</v>
      </c>
      <c r="G113" s="63">
        <f t="shared" si="3"/>
        <v>65.387</v>
      </c>
      <c r="H113" s="64" t="s">
        <v>85</v>
      </c>
      <c r="I113" s="97" t="s">
        <v>369</v>
      </c>
      <c r="J113" s="98"/>
      <c r="K113" s="98"/>
      <c r="L113" s="98"/>
      <c r="M113" s="99"/>
      <c r="N113" s="17" t="str">
        <f>_xlfn.DISPIMG("ID_5204E82EA48A4166A42CB546D0CE922F",1)</f>
        <v>=DISPIMG("ID_5204E82EA48A4166A42CB546D0CE922F",1)</v>
      </c>
      <c r="O113" s="22"/>
    </row>
    <row r="114" ht="30" customHeight="1" spans="1:15">
      <c r="A114" s="9">
        <v>111</v>
      </c>
      <c r="B114" s="9">
        <v>21012085</v>
      </c>
      <c r="C114" s="9" t="s">
        <v>132</v>
      </c>
      <c r="D114" s="61">
        <v>89.34</v>
      </c>
      <c r="E114" s="9">
        <v>0</v>
      </c>
      <c r="F114" s="62">
        <v>89.34</v>
      </c>
      <c r="G114" s="63">
        <f t="shared" si="3"/>
        <v>62.538</v>
      </c>
      <c r="H114" s="64" t="s">
        <v>100</v>
      </c>
      <c r="I114" s="100"/>
      <c r="J114" s="101"/>
      <c r="K114" s="101"/>
      <c r="L114" s="101"/>
      <c r="M114" s="102"/>
      <c r="N114" s="17" t="str">
        <f>_xlfn.DISPIMG("ID_B76FEFD76EAD48FEA3C0821A15C75F91",1)</f>
        <v>=DISPIMG("ID_B76FEFD76EAD48FEA3C0821A15C75F91",1)</v>
      </c>
      <c r="O114" s="22"/>
    </row>
    <row r="115" ht="30" customHeight="1" spans="1:15">
      <c r="A115" s="9">
        <v>112</v>
      </c>
      <c r="B115" s="9">
        <v>21012094</v>
      </c>
      <c r="C115" s="9" t="s">
        <v>292</v>
      </c>
      <c r="D115" s="61">
        <v>75.9</v>
      </c>
      <c r="E115" s="9">
        <v>0</v>
      </c>
      <c r="F115" s="62">
        <v>75.9</v>
      </c>
      <c r="G115" s="63">
        <f t="shared" si="3"/>
        <v>53.13</v>
      </c>
      <c r="H115" s="64" t="s">
        <v>293</v>
      </c>
      <c r="I115" s="100"/>
      <c r="J115" s="101"/>
      <c r="K115" s="101"/>
      <c r="L115" s="101"/>
      <c r="M115" s="102"/>
      <c r="N115" s="3" t="str">
        <f>_xlfn.DISPIMG("ID_500ED8D9C99243A3AFCEBCFC46B75CC6",1)</f>
        <v>=DISPIMG("ID_500ED8D9C99243A3AFCEBCFC46B75CC6",1)</v>
      </c>
      <c r="O115" s="22"/>
    </row>
    <row r="116" ht="30" customHeight="1" spans="1:15">
      <c r="A116" s="9">
        <v>113</v>
      </c>
      <c r="B116" s="9">
        <v>21012098</v>
      </c>
      <c r="C116" s="9" t="s">
        <v>139</v>
      </c>
      <c r="D116" s="61">
        <v>87.69</v>
      </c>
      <c r="E116" s="9">
        <v>2.5</v>
      </c>
      <c r="F116" s="62">
        <v>90.19</v>
      </c>
      <c r="G116" s="63">
        <f t="shared" si="3"/>
        <v>63.133</v>
      </c>
      <c r="H116" s="64" t="s">
        <v>140</v>
      </c>
      <c r="I116" s="94" t="s">
        <v>370</v>
      </c>
      <c r="J116" s="95"/>
      <c r="K116" s="95"/>
      <c r="L116" s="95"/>
      <c r="M116" s="96"/>
      <c r="N116" s="17" t="str">
        <f>_xlfn.DISPIMG("ID_96914C482CBB43838837FFD5EF4963A3",1)</f>
        <v>=DISPIMG("ID_96914C482CBB43838837FFD5EF4963A3",1)</v>
      </c>
      <c r="O116" s="22"/>
    </row>
    <row r="117" ht="30" customHeight="1" spans="1:15">
      <c r="A117" s="9">
        <v>114</v>
      </c>
      <c r="B117" s="9">
        <v>21012105</v>
      </c>
      <c r="C117" s="9" t="s">
        <v>74</v>
      </c>
      <c r="D117" s="61">
        <v>87.55</v>
      </c>
      <c r="E117" s="9">
        <v>5.5</v>
      </c>
      <c r="F117" s="62">
        <v>93.05</v>
      </c>
      <c r="G117" s="63">
        <f t="shared" si="3"/>
        <v>65.135</v>
      </c>
      <c r="H117" s="64" t="s">
        <v>75</v>
      </c>
      <c r="I117" s="94" t="s">
        <v>371</v>
      </c>
      <c r="J117" s="95"/>
      <c r="K117" s="95"/>
      <c r="L117" s="95"/>
      <c r="M117" s="96"/>
      <c r="N117" s="17" t="str">
        <f>_xlfn.DISPIMG("ID_7BA27B6234F54784B444E7D01D11D62E",1)</f>
        <v>=DISPIMG("ID_7BA27B6234F54784B444E7D01D11D62E",1)</v>
      </c>
      <c r="O117" s="22"/>
    </row>
    <row r="118" s="3" customFormat="1" ht="30" customHeight="1" spans="1:15">
      <c r="A118" s="9">
        <v>115</v>
      </c>
      <c r="B118" s="9">
        <v>21012108</v>
      </c>
      <c r="C118" s="9" t="s">
        <v>38</v>
      </c>
      <c r="D118" s="61">
        <v>90.59</v>
      </c>
      <c r="E118" s="9">
        <v>10</v>
      </c>
      <c r="F118" s="62">
        <v>100.59</v>
      </c>
      <c r="G118" s="63">
        <f t="shared" si="3"/>
        <v>70.413</v>
      </c>
      <c r="H118" s="64" t="s">
        <v>39</v>
      </c>
      <c r="I118" s="94" t="s">
        <v>372</v>
      </c>
      <c r="J118" s="95"/>
      <c r="K118" s="95"/>
      <c r="L118" s="95"/>
      <c r="M118" s="96"/>
      <c r="N118" s="17" t="str">
        <f>_xlfn.DISPIMG("ID_0FAEE720185142ACA4D0BEFBC4494BDE",1)</f>
        <v>=DISPIMG("ID_0FAEE720185142ACA4D0BEFBC4494BDE",1)</v>
      </c>
      <c r="O118" s="22"/>
    </row>
    <row r="119" ht="30" customHeight="1" spans="1:15">
      <c r="A119" s="9">
        <v>116</v>
      </c>
      <c r="B119" s="9">
        <v>21012119</v>
      </c>
      <c r="C119" s="9" t="s">
        <v>300</v>
      </c>
      <c r="D119" s="61">
        <v>79.62</v>
      </c>
      <c r="E119" s="9">
        <v>0</v>
      </c>
      <c r="F119" s="62">
        <v>79.62</v>
      </c>
      <c r="G119" s="63">
        <f t="shared" si="3"/>
        <v>55.734</v>
      </c>
      <c r="H119" s="64" t="s">
        <v>301</v>
      </c>
      <c r="I119" s="100"/>
      <c r="J119" s="101"/>
      <c r="K119" s="101"/>
      <c r="L119" s="101"/>
      <c r="M119" s="102"/>
      <c r="N119" s="17" t="str">
        <f>_xlfn.DISPIMG("ID_BBF7E13BF54F45FABF255710FA4537C1",1)</f>
        <v>=DISPIMG("ID_BBF7E13BF54F45FABF255710FA4537C1",1)</v>
      </c>
      <c r="O119" s="22"/>
    </row>
    <row r="120" ht="30" customHeight="1" spans="1:15">
      <c r="A120" s="9">
        <v>117</v>
      </c>
      <c r="B120" s="9">
        <v>21012122</v>
      </c>
      <c r="C120" s="9" t="s">
        <v>72</v>
      </c>
      <c r="D120" s="61">
        <v>88.97</v>
      </c>
      <c r="E120" s="9">
        <v>5</v>
      </c>
      <c r="F120" s="62">
        <v>93.97</v>
      </c>
      <c r="G120" s="63">
        <f t="shared" si="3"/>
        <v>65.779</v>
      </c>
      <c r="H120" s="64" t="s">
        <v>73</v>
      </c>
      <c r="I120" s="94" t="s">
        <v>373</v>
      </c>
      <c r="J120" s="95"/>
      <c r="K120" s="95"/>
      <c r="L120" s="95"/>
      <c r="M120" s="96"/>
      <c r="N120" s="17" t="str">
        <f>_xlfn.DISPIMG("ID_67A5A10BE2D94EE585CD9A6B36F1FEB5",1)</f>
        <v>=DISPIMG("ID_67A5A10BE2D94EE585CD9A6B36F1FEB5",1)</v>
      </c>
      <c r="O120" s="22"/>
    </row>
    <row r="121" ht="30" customHeight="1" spans="1:15">
      <c r="A121" s="9">
        <v>118</v>
      </c>
      <c r="B121" s="9">
        <v>21012055</v>
      </c>
      <c r="C121" s="9" t="s">
        <v>298</v>
      </c>
      <c r="D121" s="61">
        <v>79.34</v>
      </c>
      <c r="E121" s="9">
        <v>0</v>
      </c>
      <c r="F121" s="62">
        <v>79.34</v>
      </c>
      <c r="G121" s="63">
        <f t="shared" si="3"/>
        <v>55.538</v>
      </c>
      <c r="H121" s="64" t="s">
        <v>299</v>
      </c>
      <c r="I121" s="100"/>
      <c r="J121" s="101"/>
      <c r="K121" s="101"/>
      <c r="L121" s="101"/>
      <c r="M121" s="102"/>
      <c r="N121" s="17" t="str">
        <f>_xlfn.DISPIMG("ID_05E1DA1505184721882936F8B2CF859E",1)</f>
        <v>=DISPIMG("ID_05E1DA1505184721882936F8B2CF859E",1)</v>
      </c>
      <c r="O121" s="22"/>
    </row>
    <row r="122" ht="30" customHeight="1" spans="1:15">
      <c r="A122" s="9">
        <v>119</v>
      </c>
      <c r="B122" s="9">
        <v>21012115</v>
      </c>
      <c r="C122" s="9" t="s">
        <v>296</v>
      </c>
      <c r="D122" s="61">
        <v>79.59</v>
      </c>
      <c r="E122" s="9">
        <v>0</v>
      </c>
      <c r="F122" s="62">
        <v>79.59</v>
      </c>
      <c r="G122" s="63">
        <f t="shared" si="3"/>
        <v>55.713</v>
      </c>
      <c r="H122" s="64" t="s">
        <v>297</v>
      </c>
      <c r="I122" s="100"/>
      <c r="J122" s="101"/>
      <c r="K122" s="101"/>
      <c r="L122" s="101"/>
      <c r="M122" s="102"/>
      <c r="N122" s="17" t="str">
        <f>_xlfn.DISPIMG("ID_32B6224467F641CCA678F6D5ADB26DAA",1)</f>
        <v>=DISPIMG("ID_32B6224467F641CCA678F6D5ADB26DAA",1)</v>
      </c>
      <c r="O122" s="22"/>
    </row>
    <row r="123" ht="30" customHeight="1" spans="1:15">
      <c r="A123" s="9">
        <v>120</v>
      </c>
      <c r="B123" s="9">
        <v>21012124</v>
      </c>
      <c r="C123" s="9" t="s">
        <v>103</v>
      </c>
      <c r="D123" s="61">
        <v>87.59</v>
      </c>
      <c r="E123" s="9">
        <v>3.05</v>
      </c>
      <c r="F123" s="62">
        <v>90.64</v>
      </c>
      <c r="G123" s="63">
        <f t="shared" si="3"/>
        <v>63.448</v>
      </c>
      <c r="H123" s="64" t="s">
        <v>104</v>
      </c>
      <c r="I123" s="94" t="s">
        <v>374</v>
      </c>
      <c r="J123" s="95"/>
      <c r="K123" s="95"/>
      <c r="L123" s="95"/>
      <c r="M123" s="96"/>
      <c r="N123" s="17" t="str">
        <f>_xlfn.DISPIMG("ID_014EDCFFA2D844C192DC068E029AE4CD",1)</f>
        <v>=DISPIMG("ID_014EDCFFA2D844C192DC068E029AE4CD",1)</v>
      </c>
      <c r="O123" s="22"/>
    </row>
    <row r="124" ht="30" customHeight="1" spans="1:15">
      <c r="A124" s="9">
        <v>121</v>
      </c>
      <c r="B124" s="9">
        <v>21012136</v>
      </c>
      <c r="C124" s="9" t="s">
        <v>66</v>
      </c>
      <c r="D124" s="61">
        <v>92</v>
      </c>
      <c r="E124" s="9">
        <v>5</v>
      </c>
      <c r="F124" s="62">
        <v>97</v>
      </c>
      <c r="G124" s="63">
        <f t="shared" si="3"/>
        <v>67.9</v>
      </c>
      <c r="H124" s="64" t="s">
        <v>67</v>
      </c>
      <c r="I124" s="94" t="s">
        <v>375</v>
      </c>
      <c r="J124" s="95"/>
      <c r="K124" s="95"/>
      <c r="L124" s="95"/>
      <c r="M124" s="96"/>
      <c r="N124" s="17" t="str">
        <f>_xlfn.DISPIMG("ID_F1ED1C426B89404799C5B2E347325D7E",1)</f>
        <v>=DISPIMG("ID_F1ED1C426B89404799C5B2E347325D7E",1)</v>
      </c>
      <c r="O124" s="22"/>
    </row>
    <row r="125" ht="30" customHeight="1" spans="1:15">
      <c r="A125" s="9">
        <v>122</v>
      </c>
      <c r="B125" s="9">
        <v>21012139</v>
      </c>
      <c r="C125" s="9" t="s">
        <v>80</v>
      </c>
      <c r="D125" s="61">
        <v>91.86</v>
      </c>
      <c r="E125" s="9">
        <v>0</v>
      </c>
      <c r="F125" s="62">
        <v>91.86</v>
      </c>
      <c r="G125" s="63">
        <f t="shared" si="3"/>
        <v>64.302</v>
      </c>
      <c r="H125" s="64" t="s">
        <v>81</v>
      </c>
      <c r="I125" s="94" t="s">
        <v>376</v>
      </c>
      <c r="J125" s="95"/>
      <c r="K125" s="95"/>
      <c r="L125" s="95"/>
      <c r="M125" s="96"/>
      <c r="N125" s="17" t="str">
        <f>_xlfn.DISPIMG("ID_ACF98FED961B4FB08D4B625A97C629F8",1)</f>
        <v>=DISPIMG("ID_ACF98FED961B4FB08D4B625A97C629F8",1)</v>
      </c>
      <c r="O125" s="22"/>
    </row>
    <row r="126" ht="30" customHeight="1" spans="1:15">
      <c r="A126" s="9">
        <v>123</v>
      </c>
      <c r="B126" s="9">
        <v>21012146</v>
      </c>
      <c r="C126" s="9" t="s">
        <v>250</v>
      </c>
      <c r="D126" s="61">
        <v>84.17</v>
      </c>
      <c r="E126" s="9">
        <v>0</v>
      </c>
      <c r="F126" s="62">
        <v>84.17</v>
      </c>
      <c r="G126" s="63">
        <f t="shared" si="3"/>
        <v>58.919</v>
      </c>
      <c r="H126" s="64" t="s">
        <v>251</v>
      </c>
      <c r="I126" s="100"/>
      <c r="J126" s="101"/>
      <c r="K126" s="101"/>
      <c r="L126" s="101"/>
      <c r="M126" s="102"/>
      <c r="N126" s="17" t="str">
        <f>_xlfn.DISPIMG("ID_CD3E56EDC4AA4290A16CE18B393DABEA",1)</f>
        <v>=DISPIMG("ID_CD3E56EDC4AA4290A16CE18B393DABEA",1)</v>
      </c>
      <c r="O126" s="22"/>
    </row>
    <row r="127" ht="30" customHeight="1" spans="1:15">
      <c r="A127" s="9">
        <v>124</v>
      </c>
      <c r="B127" s="9">
        <v>21012150</v>
      </c>
      <c r="C127" s="9" t="s">
        <v>159</v>
      </c>
      <c r="D127" s="61">
        <v>88.28</v>
      </c>
      <c r="E127" s="9">
        <v>0</v>
      </c>
      <c r="F127" s="62">
        <v>88.28</v>
      </c>
      <c r="G127" s="63">
        <f t="shared" si="3"/>
        <v>61.796</v>
      </c>
      <c r="H127" s="64" t="s">
        <v>160</v>
      </c>
      <c r="I127" s="100"/>
      <c r="J127" s="101"/>
      <c r="K127" s="101"/>
      <c r="L127" s="101"/>
      <c r="M127" s="102"/>
      <c r="N127" s="26" t="str">
        <f>_xlfn.DISPIMG("ID_0B32136935114C05A43636435171931E",1)</f>
        <v>=DISPIMG("ID_0B32136935114C05A43636435171931E",1)</v>
      </c>
      <c r="O127" s="22"/>
    </row>
    <row r="128" ht="30" customHeight="1" spans="1:15">
      <c r="A128" s="9">
        <v>125</v>
      </c>
      <c r="B128" s="9">
        <v>21012160</v>
      </c>
      <c r="C128" s="9" t="s">
        <v>294</v>
      </c>
      <c r="D128" s="61">
        <v>80.24</v>
      </c>
      <c r="E128" s="9">
        <v>0</v>
      </c>
      <c r="F128" s="62">
        <v>80.24</v>
      </c>
      <c r="G128" s="63">
        <f t="shared" si="3"/>
        <v>56.168</v>
      </c>
      <c r="H128" s="64" t="s">
        <v>295</v>
      </c>
      <c r="I128" s="100"/>
      <c r="J128" s="101"/>
      <c r="K128" s="101"/>
      <c r="L128" s="101"/>
      <c r="M128" s="102"/>
      <c r="N128" s="17" t="str">
        <f>_xlfn.DISPIMG("ID_8BCBBEDE58EB4BCDA47C8E43B9BBD399",1)</f>
        <v>=DISPIMG("ID_8BCBBEDE58EB4BCDA47C8E43B9BBD399",1)</v>
      </c>
      <c r="O128" s="22"/>
    </row>
    <row r="129" ht="30" customHeight="1" spans="1:15">
      <c r="A129" s="9">
        <v>126</v>
      </c>
      <c r="B129" s="23">
        <v>21012006</v>
      </c>
      <c r="C129" s="9" t="s">
        <v>125</v>
      </c>
      <c r="D129" s="61">
        <v>89.83</v>
      </c>
      <c r="E129" s="9">
        <v>0</v>
      </c>
      <c r="F129" s="62">
        <v>89.83</v>
      </c>
      <c r="G129" s="63">
        <f t="shared" si="3"/>
        <v>62.881</v>
      </c>
      <c r="H129" s="64" t="s">
        <v>126</v>
      </c>
      <c r="I129" s="100"/>
      <c r="J129" s="101"/>
      <c r="K129" s="101"/>
      <c r="L129" s="101"/>
      <c r="M129" s="102"/>
      <c r="N129" s="17" t="str">
        <f>_xlfn.DISPIMG("ID_97041EC4336E4DFFA0842892CEEBB625",1)</f>
        <v>=DISPIMG("ID_97041EC4336E4DFFA0842892CEEBB625",1)</v>
      </c>
      <c r="O129" s="22"/>
    </row>
    <row r="130" ht="30" customHeight="1" spans="1:15">
      <c r="A130" s="9">
        <v>127</v>
      </c>
      <c r="B130" s="23">
        <v>21012007</v>
      </c>
      <c r="C130" s="9" t="s">
        <v>21</v>
      </c>
      <c r="D130" s="61">
        <v>93.59</v>
      </c>
      <c r="E130" s="9">
        <v>10</v>
      </c>
      <c r="F130" s="62">
        <v>103.59</v>
      </c>
      <c r="G130" s="63">
        <f t="shared" si="3"/>
        <v>72.513</v>
      </c>
      <c r="H130" s="64" t="s">
        <v>22</v>
      </c>
      <c r="I130" s="91" t="s">
        <v>377</v>
      </c>
      <c r="J130" s="92"/>
      <c r="K130" s="92"/>
      <c r="L130" s="92"/>
      <c r="M130" s="93"/>
      <c r="N130" s="17" t="str">
        <f>_xlfn.DISPIMG("ID_6F52D634E07148B593CEE84254D5B55F",1)</f>
        <v>=DISPIMG("ID_6F52D634E07148B593CEE84254D5B55F",1)</v>
      </c>
      <c r="O130" s="22"/>
    </row>
    <row r="131" ht="30" customHeight="1" spans="1:15">
      <c r="A131" s="9">
        <v>128</v>
      </c>
      <c r="B131" s="23">
        <v>21012016</v>
      </c>
      <c r="C131" s="9" t="s">
        <v>32</v>
      </c>
      <c r="D131" s="61">
        <v>93.79</v>
      </c>
      <c r="E131" s="9">
        <v>10</v>
      </c>
      <c r="F131" s="62">
        <v>103.79</v>
      </c>
      <c r="G131" s="63">
        <f t="shared" si="3"/>
        <v>72.653</v>
      </c>
      <c r="H131" s="64" t="s">
        <v>33</v>
      </c>
      <c r="I131" s="91" t="s">
        <v>378</v>
      </c>
      <c r="J131" s="92"/>
      <c r="K131" s="92"/>
      <c r="L131" s="92"/>
      <c r="M131" s="93"/>
      <c r="N131" s="17" t="str">
        <f>_xlfn.DISPIMG("ID_834E695137D140089BCC10E679785AF6",1)</f>
        <v>=DISPIMG("ID_834E695137D140089BCC10E679785AF6",1)</v>
      </c>
      <c r="O131" s="22"/>
    </row>
    <row r="132" ht="30" customHeight="1" spans="1:15">
      <c r="A132" s="9">
        <v>129</v>
      </c>
      <c r="B132" s="23">
        <v>21012017</v>
      </c>
      <c r="C132" s="9" t="s">
        <v>99</v>
      </c>
      <c r="D132" s="61">
        <v>87.34</v>
      </c>
      <c r="E132" s="9">
        <v>2</v>
      </c>
      <c r="F132" s="62">
        <v>89.34</v>
      </c>
      <c r="G132" s="63">
        <f t="shared" ref="G132:G160" si="4">F132*0.7</f>
        <v>62.538</v>
      </c>
      <c r="H132" s="64" t="s">
        <v>100</v>
      </c>
      <c r="I132" s="100" t="s">
        <v>379</v>
      </c>
      <c r="J132" s="101"/>
      <c r="K132" s="101"/>
      <c r="L132" s="101"/>
      <c r="M132" s="102"/>
      <c r="N132" s="17" t="str">
        <f>_xlfn.DISPIMG("ID_9C1F97DF6C4D4952837F3E3F3973CB0A",1)</f>
        <v>=DISPIMG("ID_9C1F97DF6C4D4952837F3E3F3973CB0A",1)</v>
      </c>
      <c r="O132" s="22"/>
    </row>
    <row r="133" ht="30" customHeight="1" spans="1:15">
      <c r="A133" s="9">
        <v>130</v>
      </c>
      <c r="B133" s="23">
        <v>21012027</v>
      </c>
      <c r="C133" s="9" t="s">
        <v>236</v>
      </c>
      <c r="D133" s="61">
        <v>83.14</v>
      </c>
      <c r="E133" s="9">
        <v>2</v>
      </c>
      <c r="F133" s="62">
        <v>85.14</v>
      </c>
      <c r="G133" s="63">
        <f t="shared" si="4"/>
        <v>59.598</v>
      </c>
      <c r="H133" s="64" t="s">
        <v>237</v>
      </c>
      <c r="I133" s="100" t="s">
        <v>380</v>
      </c>
      <c r="J133" s="101"/>
      <c r="K133" s="101"/>
      <c r="L133" s="101"/>
      <c r="M133" s="102"/>
      <c r="N133" s="17" t="str">
        <f>_xlfn.DISPIMG("ID_8EBB7600C91D40EBBE2509E8CBE2077B",1)</f>
        <v>=DISPIMG("ID_8EBB7600C91D40EBBE2509E8CBE2077B",1)</v>
      </c>
      <c r="O133" s="22"/>
    </row>
    <row r="134" ht="30" customHeight="1" spans="1:15">
      <c r="A134" s="9">
        <v>131</v>
      </c>
      <c r="B134" s="23">
        <v>21012028</v>
      </c>
      <c r="C134" s="9" t="s">
        <v>60</v>
      </c>
      <c r="D134" s="61">
        <v>92.76</v>
      </c>
      <c r="E134" s="9">
        <v>2</v>
      </c>
      <c r="F134" s="62">
        <v>94.76</v>
      </c>
      <c r="G134" s="63">
        <f t="shared" si="4"/>
        <v>66.332</v>
      </c>
      <c r="H134" s="64" t="s">
        <v>61</v>
      </c>
      <c r="I134" s="100" t="s">
        <v>380</v>
      </c>
      <c r="J134" s="101"/>
      <c r="K134" s="101"/>
      <c r="L134" s="101"/>
      <c r="M134" s="102"/>
      <c r="N134" s="17" t="str">
        <f>_xlfn.DISPIMG("ID_6B1D743D192B4931A070D23A4B692881",1)</f>
        <v>=DISPIMG("ID_6B1D743D192B4931A070D23A4B692881",1)</v>
      </c>
      <c r="O134" s="22"/>
    </row>
    <row r="135" ht="30" customHeight="1" spans="1:15">
      <c r="A135" s="9">
        <v>132</v>
      </c>
      <c r="B135" s="23">
        <v>21012038</v>
      </c>
      <c r="C135" s="9" t="s">
        <v>98</v>
      </c>
      <c r="D135" s="61">
        <v>89.72</v>
      </c>
      <c r="E135" s="9">
        <v>2</v>
      </c>
      <c r="F135" s="62">
        <v>91.72</v>
      </c>
      <c r="G135" s="63">
        <f t="shared" si="4"/>
        <v>64.204</v>
      </c>
      <c r="H135" s="64" t="s">
        <v>77</v>
      </c>
      <c r="I135" s="100" t="s">
        <v>381</v>
      </c>
      <c r="J135" s="101"/>
      <c r="K135" s="101"/>
      <c r="L135" s="101"/>
      <c r="M135" s="102"/>
      <c r="N135" s="17" t="str">
        <f>_xlfn.DISPIMG("ID_3AC61EBA796C421E9122E743B2D2CA5A",1)</f>
        <v>=DISPIMG("ID_3AC61EBA796C421E9122E743B2D2CA5A",1)</v>
      </c>
      <c r="O135" s="22"/>
    </row>
    <row r="136" ht="30" customHeight="1" spans="1:15">
      <c r="A136" s="9">
        <v>133</v>
      </c>
      <c r="B136" s="23">
        <v>21012039</v>
      </c>
      <c r="C136" s="9" t="s">
        <v>133</v>
      </c>
      <c r="D136" s="61">
        <v>87.69</v>
      </c>
      <c r="E136" s="9">
        <v>0</v>
      </c>
      <c r="F136" s="62">
        <v>87.69</v>
      </c>
      <c r="G136" s="63">
        <f t="shared" si="4"/>
        <v>61.383</v>
      </c>
      <c r="H136" s="64" t="s">
        <v>134</v>
      </c>
      <c r="I136" s="100"/>
      <c r="J136" s="101"/>
      <c r="K136" s="101"/>
      <c r="L136" s="101"/>
      <c r="M136" s="102"/>
      <c r="N136" s="17" t="str">
        <f>_xlfn.DISPIMG("ID_8E9C88800D8C47CC9A232867E5FF1A9F",1)</f>
        <v>=DISPIMG("ID_8E9C88800D8C47CC9A232867E5FF1A9F",1)</v>
      </c>
      <c r="O136" s="22"/>
    </row>
    <row r="137" ht="30" customHeight="1" spans="1:15">
      <c r="A137" s="9">
        <v>134</v>
      </c>
      <c r="B137" s="23">
        <v>21012048</v>
      </c>
      <c r="C137" s="9" t="s">
        <v>225</v>
      </c>
      <c r="D137" s="61">
        <v>84.52</v>
      </c>
      <c r="E137" s="9">
        <v>0</v>
      </c>
      <c r="F137" s="62">
        <v>84.52</v>
      </c>
      <c r="G137" s="63">
        <f t="shared" si="4"/>
        <v>59.164</v>
      </c>
      <c r="H137" s="64" t="s">
        <v>226</v>
      </c>
      <c r="I137" s="100"/>
      <c r="J137" s="101"/>
      <c r="K137" s="101"/>
      <c r="L137" s="101"/>
      <c r="M137" s="102"/>
      <c r="N137" s="17" t="str">
        <f>_xlfn.DISPIMG("ID_699949D1967A4F77AEBF54D184EF87B0",1)</f>
        <v>=DISPIMG("ID_699949D1967A4F77AEBF54D184EF87B0",1)</v>
      </c>
      <c r="O137" s="22"/>
    </row>
    <row r="138" ht="30" customHeight="1" spans="1:15">
      <c r="A138" s="9">
        <v>135</v>
      </c>
      <c r="B138" s="23">
        <v>21012049</v>
      </c>
      <c r="C138" s="9" t="s">
        <v>203</v>
      </c>
      <c r="D138" s="61">
        <v>85.41</v>
      </c>
      <c r="E138" s="9">
        <v>0</v>
      </c>
      <c r="F138" s="62">
        <v>85.41</v>
      </c>
      <c r="G138" s="63">
        <f t="shared" si="4"/>
        <v>59.787</v>
      </c>
      <c r="H138" s="64" t="s">
        <v>204</v>
      </c>
      <c r="I138" s="100"/>
      <c r="J138" s="101"/>
      <c r="K138" s="101"/>
      <c r="L138" s="101"/>
      <c r="M138" s="102"/>
      <c r="N138" s="17" t="str">
        <f>_xlfn.DISPIMG("ID_68BACA8D9B8E4B9D9C4ACC780415ABB8",1)</f>
        <v>=DISPIMG("ID_68BACA8D9B8E4B9D9C4ACC780415ABB8",1)</v>
      </c>
      <c r="O138" s="22"/>
    </row>
    <row r="139" ht="30" customHeight="1" spans="1:15">
      <c r="A139" s="9">
        <v>136</v>
      </c>
      <c r="B139" s="23">
        <v>21012059</v>
      </c>
      <c r="C139" s="9" t="s">
        <v>161</v>
      </c>
      <c r="D139" s="61">
        <v>86.9</v>
      </c>
      <c r="E139" s="9">
        <v>0</v>
      </c>
      <c r="F139" s="62">
        <v>86.9</v>
      </c>
      <c r="G139" s="63">
        <f t="shared" si="4"/>
        <v>60.83</v>
      </c>
      <c r="H139" s="64" t="s">
        <v>162</v>
      </c>
      <c r="I139" s="100"/>
      <c r="J139" s="101"/>
      <c r="K139" s="101"/>
      <c r="L139" s="101"/>
      <c r="M139" s="102"/>
      <c r="N139" s="17" t="str">
        <f>_xlfn.DISPIMG("ID_9E1CFBB528B546C9846D8AD12FBDCB51",1)</f>
        <v>=DISPIMG("ID_9E1CFBB528B546C9846D8AD12FBDCB51",1)</v>
      </c>
      <c r="O139" s="22"/>
    </row>
    <row r="140" ht="30" customHeight="1" spans="1:15">
      <c r="A140" s="9">
        <v>137</v>
      </c>
      <c r="B140" s="23">
        <v>21012060</v>
      </c>
      <c r="C140" s="9" t="s">
        <v>145</v>
      </c>
      <c r="D140" s="61">
        <v>88.79</v>
      </c>
      <c r="E140" s="9">
        <v>0</v>
      </c>
      <c r="F140" s="62">
        <v>88.79</v>
      </c>
      <c r="G140" s="63">
        <f t="shared" si="4"/>
        <v>62.153</v>
      </c>
      <c r="H140" s="64" t="s">
        <v>146</v>
      </c>
      <c r="I140" s="100"/>
      <c r="J140" s="101"/>
      <c r="K140" s="101"/>
      <c r="L140" s="101"/>
      <c r="M140" s="102"/>
      <c r="N140" s="17" t="str">
        <f>_xlfn.DISPIMG("ID_DCA1B280B89C43D3938A8CF1746FD163",1)</f>
        <v>=DISPIMG("ID_DCA1B280B89C43D3938A8CF1746FD163",1)</v>
      </c>
      <c r="O140" s="22"/>
    </row>
    <row r="141" ht="30" customHeight="1" spans="1:15">
      <c r="A141" s="9">
        <v>138</v>
      </c>
      <c r="B141" s="23">
        <v>21012071</v>
      </c>
      <c r="C141" s="9" t="s">
        <v>18</v>
      </c>
      <c r="D141" s="61">
        <v>94.03</v>
      </c>
      <c r="E141" s="9">
        <v>10</v>
      </c>
      <c r="F141" s="62">
        <v>104.03</v>
      </c>
      <c r="G141" s="63">
        <f t="shared" si="4"/>
        <v>72.821</v>
      </c>
      <c r="H141" s="64" t="s">
        <v>19</v>
      </c>
      <c r="I141" s="91" t="s">
        <v>382</v>
      </c>
      <c r="J141" s="92"/>
      <c r="K141" s="92"/>
      <c r="L141" s="92"/>
      <c r="M141" s="93"/>
      <c r="N141" s="17" t="str">
        <f>_xlfn.DISPIMG("ID_683757A20CF244E487B6566AD972BF0D",1)</f>
        <v>=DISPIMG("ID_683757A20CF244E487B6566AD972BF0D",1)</v>
      </c>
      <c r="O141" s="22"/>
    </row>
    <row r="142" ht="30" customHeight="1" spans="1:15">
      <c r="A142" s="9">
        <v>139</v>
      </c>
      <c r="B142" s="23">
        <v>21012073</v>
      </c>
      <c r="C142" s="9" t="s">
        <v>169</v>
      </c>
      <c r="D142" s="61">
        <v>85.76</v>
      </c>
      <c r="E142" s="9">
        <v>0</v>
      </c>
      <c r="F142" s="62">
        <v>85.76</v>
      </c>
      <c r="G142" s="63">
        <f t="shared" si="4"/>
        <v>60.032</v>
      </c>
      <c r="H142" s="64" t="s">
        <v>170</v>
      </c>
      <c r="I142" s="100"/>
      <c r="J142" s="101"/>
      <c r="K142" s="101"/>
      <c r="L142" s="101"/>
      <c r="M142" s="102"/>
      <c r="N142" s="17" t="str">
        <f>_xlfn.DISPIMG("ID_299219D91A8A4FC994500B5D2F1DF674",1)</f>
        <v>=DISPIMG("ID_299219D91A8A4FC994500B5D2F1DF674",1)</v>
      </c>
      <c r="O142" s="22"/>
    </row>
    <row r="143" ht="30" customHeight="1" spans="1:15">
      <c r="A143" s="9">
        <v>140</v>
      </c>
      <c r="B143" s="23">
        <v>21012083</v>
      </c>
      <c r="C143" s="9" t="s">
        <v>186</v>
      </c>
      <c r="D143" s="61">
        <v>86.31</v>
      </c>
      <c r="E143" s="9">
        <v>0</v>
      </c>
      <c r="F143" s="62">
        <v>86.31</v>
      </c>
      <c r="G143" s="63">
        <f t="shared" si="4"/>
        <v>60.417</v>
      </c>
      <c r="H143" s="64" t="s">
        <v>187</v>
      </c>
      <c r="I143" s="100"/>
      <c r="J143" s="101"/>
      <c r="K143" s="101"/>
      <c r="L143" s="101"/>
      <c r="M143" s="102"/>
      <c r="N143" s="17" t="str">
        <f>_xlfn.DISPIMG("ID_C0056C45CAB2420FBB5F0958A4E0922A",1)</f>
        <v>=DISPIMG("ID_C0056C45CAB2420FBB5F0958A4E0922A",1)</v>
      </c>
      <c r="O143" s="22"/>
    </row>
    <row r="144" ht="30" customHeight="1" spans="1:15">
      <c r="A144" s="9">
        <v>141</v>
      </c>
      <c r="B144" s="23">
        <v>21012084</v>
      </c>
      <c r="C144" s="9" t="s">
        <v>54</v>
      </c>
      <c r="D144" s="61">
        <v>86.62</v>
      </c>
      <c r="E144" s="9">
        <v>10</v>
      </c>
      <c r="F144" s="62">
        <v>96.62</v>
      </c>
      <c r="G144" s="63">
        <f t="shared" si="4"/>
        <v>67.634</v>
      </c>
      <c r="H144" s="64" t="s">
        <v>55</v>
      </c>
      <c r="I144" s="91" t="s">
        <v>383</v>
      </c>
      <c r="J144" s="92"/>
      <c r="K144" s="92"/>
      <c r="L144" s="92"/>
      <c r="M144" s="93"/>
      <c r="N144" s="17" t="str">
        <f>_xlfn.DISPIMG("ID_C7D2FDFC9359478BAD756DFB4878C8B6",1)</f>
        <v>=DISPIMG("ID_C7D2FDFC9359478BAD756DFB4878C8B6",1)</v>
      </c>
      <c r="O144" s="22"/>
    </row>
    <row r="145" ht="30" customHeight="1" spans="1:15">
      <c r="A145" s="9">
        <v>142</v>
      </c>
      <c r="B145" s="23">
        <v>21012095</v>
      </c>
      <c r="C145" s="9" t="s">
        <v>217</v>
      </c>
      <c r="D145" s="61">
        <v>85.24</v>
      </c>
      <c r="E145" s="9">
        <v>0</v>
      </c>
      <c r="F145" s="62">
        <v>85.24</v>
      </c>
      <c r="G145" s="63">
        <f t="shared" si="4"/>
        <v>59.668</v>
      </c>
      <c r="H145" s="64" t="s">
        <v>218</v>
      </c>
      <c r="I145" s="100"/>
      <c r="J145" s="101"/>
      <c r="K145" s="101"/>
      <c r="L145" s="101"/>
      <c r="M145" s="102"/>
      <c r="N145" s="17" t="str">
        <f>_xlfn.DISPIMG("ID_F6F7A05DA5634584A6585A4B08C87D4B",1)</f>
        <v>=DISPIMG("ID_F6F7A05DA5634584A6585A4B08C87D4B",1)</v>
      </c>
      <c r="O145" s="22"/>
    </row>
    <row r="146" ht="30" customHeight="1" spans="1:15">
      <c r="A146" s="9">
        <v>143</v>
      </c>
      <c r="B146" s="23">
        <v>21012097</v>
      </c>
      <c r="C146" s="9" t="s">
        <v>131</v>
      </c>
      <c r="D146" s="61">
        <v>89.66</v>
      </c>
      <c r="E146" s="9">
        <v>0</v>
      </c>
      <c r="F146" s="62">
        <v>89.66</v>
      </c>
      <c r="G146" s="63">
        <f t="shared" si="4"/>
        <v>62.762</v>
      </c>
      <c r="H146" s="64" t="s">
        <v>130</v>
      </c>
      <c r="I146" s="100"/>
      <c r="J146" s="101"/>
      <c r="K146" s="101"/>
      <c r="L146" s="101"/>
      <c r="M146" s="102"/>
      <c r="N146" s="17" t="str">
        <f>_xlfn.DISPIMG("ID_2836EB2365FB48C5A55B903EE90E34BB",1)</f>
        <v>=DISPIMG("ID_2836EB2365FB48C5A55B903EE90E34BB",1)</v>
      </c>
      <c r="O146" s="22"/>
    </row>
    <row r="147" ht="30" customHeight="1" spans="1:15">
      <c r="A147" s="9">
        <v>144</v>
      </c>
      <c r="B147" s="23">
        <v>21012106</v>
      </c>
      <c r="C147" s="9" t="s">
        <v>58</v>
      </c>
      <c r="D147" s="61">
        <v>87.76</v>
      </c>
      <c r="E147" s="9">
        <v>10</v>
      </c>
      <c r="F147" s="62">
        <v>97.76</v>
      </c>
      <c r="G147" s="63">
        <f t="shared" si="4"/>
        <v>68.432</v>
      </c>
      <c r="H147" s="64" t="s">
        <v>59</v>
      </c>
      <c r="I147" s="91" t="s">
        <v>384</v>
      </c>
      <c r="J147" s="92"/>
      <c r="K147" s="92"/>
      <c r="L147" s="92"/>
      <c r="M147" s="93"/>
      <c r="N147" s="17" t="str">
        <f>_xlfn.DISPIMG("ID_62F92E6F209F4331B36FC44E51530656",1)</f>
        <v>=DISPIMG("ID_62F92E6F209F4331B36FC44E51530656",1)</v>
      </c>
      <c r="O147" s="22"/>
    </row>
    <row r="148" ht="30" customHeight="1" spans="1:15">
      <c r="A148" s="9">
        <v>145</v>
      </c>
      <c r="B148" s="23">
        <v>21012107</v>
      </c>
      <c r="C148" s="9" t="s">
        <v>64</v>
      </c>
      <c r="D148" s="61">
        <v>84.48</v>
      </c>
      <c r="E148" s="9">
        <v>10</v>
      </c>
      <c r="F148" s="62">
        <v>94.48</v>
      </c>
      <c r="G148" s="63">
        <f t="shared" si="4"/>
        <v>66.136</v>
      </c>
      <c r="H148" s="64" t="s">
        <v>65</v>
      </c>
      <c r="I148" s="91" t="s">
        <v>385</v>
      </c>
      <c r="J148" s="92"/>
      <c r="K148" s="92"/>
      <c r="L148" s="92"/>
      <c r="M148" s="93"/>
      <c r="N148" s="17" t="str">
        <f>_xlfn.DISPIMG("ID_DDDA7A847897425EB777932C717C0393",1)</f>
        <v>=DISPIMG("ID_DDDA7A847897425EB777932C717C0393",1)</v>
      </c>
      <c r="O148" s="22"/>
    </row>
    <row r="149" ht="30" customHeight="1" spans="1:15">
      <c r="A149" s="9">
        <v>146</v>
      </c>
      <c r="B149" s="23">
        <v>21012120</v>
      </c>
      <c r="C149" s="9" t="s">
        <v>25</v>
      </c>
      <c r="D149" s="61">
        <v>90.66</v>
      </c>
      <c r="E149" s="9">
        <v>10</v>
      </c>
      <c r="F149" s="62">
        <v>100.66</v>
      </c>
      <c r="G149" s="63">
        <f t="shared" si="4"/>
        <v>70.462</v>
      </c>
      <c r="H149" s="64" t="s">
        <v>26</v>
      </c>
      <c r="I149" s="91" t="s">
        <v>386</v>
      </c>
      <c r="J149" s="92"/>
      <c r="K149" s="92"/>
      <c r="L149" s="92"/>
      <c r="M149" s="93"/>
      <c r="N149" s="17" t="str">
        <f>_xlfn.DISPIMG("ID_ACE6D4756C1A42E8A62ACDB6029E7727",1)</f>
        <v>=DISPIMG("ID_ACE6D4756C1A42E8A62ACDB6029E7727",1)</v>
      </c>
      <c r="O149" s="22"/>
    </row>
    <row r="150" ht="30" customHeight="1" spans="1:15">
      <c r="A150" s="9">
        <v>147</v>
      </c>
      <c r="B150" s="23">
        <v>21012121</v>
      </c>
      <c r="C150" s="9" t="s">
        <v>82</v>
      </c>
      <c r="D150" s="61">
        <v>86.17</v>
      </c>
      <c r="E150" s="9">
        <v>3.8</v>
      </c>
      <c r="F150" s="62">
        <v>89.97</v>
      </c>
      <c r="G150" s="63">
        <f t="shared" si="4"/>
        <v>62.979</v>
      </c>
      <c r="H150" s="64" t="s">
        <v>83</v>
      </c>
      <c r="I150" s="91" t="s">
        <v>387</v>
      </c>
      <c r="J150" s="92"/>
      <c r="K150" s="92"/>
      <c r="L150" s="92"/>
      <c r="M150" s="93"/>
      <c r="N150" s="17" t="str">
        <f>_xlfn.DISPIMG("ID_6E8A48B82FAD45FA8BF1B3E5430576D1",1)</f>
        <v>=DISPIMG("ID_6E8A48B82FAD45FA8BF1B3E5430576D1",1)</v>
      </c>
      <c r="O150" s="22"/>
    </row>
    <row r="151" ht="30" customHeight="1" spans="1:15">
      <c r="A151" s="9">
        <v>148</v>
      </c>
      <c r="B151" s="23">
        <v>21012130</v>
      </c>
      <c r="C151" s="9" t="s">
        <v>36</v>
      </c>
      <c r="D151" s="61">
        <v>92.76</v>
      </c>
      <c r="E151" s="9">
        <v>10</v>
      </c>
      <c r="F151" s="62">
        <v>102.76</v>
      </c>
      <c r="G151" s="63">
        <f t="shared" si="4"/>
        <v>71.932</v>
      </c>
      <c r="H151" s="64" t="s">
        <v>37</v>
      </c>
      <c r="I151" s="91" t="s">
        <v>388</v>
      </c>
      <c r="J151" s="92"/>
      <c r="K151" s="92"/>
      <c r="L151" s="92"/>
      <c r="M151" s="93"/>
      <c r="N151" s="17" t="str">
        <f>_xlfn.DISPIMG("ID_90B9B28B007741BA8CAC3FB908965332",1)</f>
        <v>=DISPIMG("ID_90B9B28B007741BA8CAC3FB908965332",1)</v>
      </c>
      <c r="O151" s="22"/>
    </row>
    <row r="152" ht="30" customHeight="1" spans="1:15">
      <c r="A152" s="9">
        <v>149</v>
      </c>
      <c r="B152" s="23">
        <v>21012068</v>
      </c>
      <c r="C152" s="9" t="s">
        <v>176</v>
      </c>
      <c r="D152" s="61">
        <v>85.62</v>
      </c>
      <c r="E152" s="9">
        <v>0</v>
      </c>
      <c r="F152" s="62">
        <v>85.62</v>
      </c>
      <c r="G152" s="63">
        <f t="shared" si="4"/>
        <v>59.934</v>
      </c>
      <c r="H152" s="64" t="s">
        <v>177</v>
      </c>
      <c r="I152" s="100"/>
      <c r="J152" s="101"/>
      <c r="K152" s="101"/>
      <c r="L152" s="101"/>
      <c r="M152" s="102"/>
      <c r="N152" s="17" t="str">
        <f>_xlfn.DISPIMG("ID_F74ADF78E659410FB00BEF122F9527E5",1)</f>
        <v>=DISPIMG("ID_F74ADF78E659410FB00BEF122F9527E5",1)</v>
      </c>
      <c r="O152" s="22"/>
    </row>
    <row r="153" ht="30" customHeight="1" spans="1:15">
      <c r="A153" s="9">
        <v>150</v>
      </c>
      <c r="B153" s="23">
        <v>21012070</v>
      </c>
      <c r="C153" s="9" t="s">
        <v>194</v>
      </c>
      <c r="D153" s="61">
        <v>86.59</v>
      </c>
      <c r="E153" s="9">
        <v>0</v>
      </c>
      <c r="F153" s="62">
        <v>86.59</v>
      </c>
      <c r="G153" s="63">
        <f t="shared" si="4"/>
        <v>60.613</v>
      </c>
      <c r="H153" s="64" t="s">
        <v>195</v>
      </c>
      <c r="I153" s="100"/>
      <c r="J153" s="101"/>
      <c r="K153" s="101"/>
      <c r="L153" s="101"/>
      <c r="M153" s="102"/>
      <c r="N153" s="17" t="str">
        <f>_xlfn.DISPIMG("ID_B74A07A0103141FC864C8B7038870043",1)</f>
        <v>=DISPIMG("ID_B74A07A0103141FC864C8B7038870043",1)</v>
      </c>
      <c r="O153" s="22"/>
    </row>
    <row r="154" ht="30" customHeight="1" spans="1:15">
      <c r="A154" s="9">
        <v>151</v>
      </c>
      <c r="B154" s="23">
        <v>21012117</v>
      </c>
      <c r="C154" s="9" t="s">
        <v>40</v>
      </c>
      <c r="D154" s="61">
        <v>92.07</v>
      </c>
      <c r="E154" s="9">
        <v>9.3</v>
      </c>
      <c r="F154" s="62">
        <v>101.37</v>
      </c>
      <c r="G154" s="63">
        <f t="shared" si="4"/>
        <v>70.959</v>
      </c>
      <c r="H154" s="64" t="s">
        <v>41</v>
      </c>
      <c r="I154" s="91" t="s">
        <v>389</v>
      </c>
      <c r="J154" s="92"/>
      <c r="K154" s="92"/>
      <c r="L154" s="92"/>
      <c r="M154" s="93"/>
      <c r="N154" s="17" t="str">
        <f>_xlfn.DISPIMG("ID_71C70DCD14394BBDA07BD7D9A5E6D41A",1)</f>
        <v>=DISPIMG("ID_71C70DCD14394BBDA07BD7D9A5E6D41A",1)</v>
      </c>
      <c r="O154" s="22"/>
    </row>
    <row r="155" ht="30" customHeight="1" spans="1:15">
      <c r="A155" s="9">
        <v>152</v>
      </c>
      <c r="B155" s="23">
        <v>21012133</v>
      </c>
      <c r="C155" s="9" t="s">
        <v>190</v>
      </c>
      <c r="D155" s="61">
        <v>86.21</v>
      </c>
      <c r="E155" s="9">
        <v>0</v>
      </c>
      <c r="F155" s="62">
        <v>86.21</v>
      </c>
      <c r="G155" s="63">
        <f t="shared" si="4"/>
        <v>60.347</v>
      </c>
      <c r="H155" s="64" t="s">
        <v>191</v>
      </c>
      <c r="I155" s="100"/>
      <c r="J155" s="101"/>
      <c r="K155" s="101"/>
      <c r="L155" s="101"/>
      <c r="M155" s="102"/>
      <c r="N155" s="17" t="str">
        <f>_xlfn.DISPIMG("ID_279C57439A584415B077F4C890DF6E28",1)</f>
        <v>=DISPIMG("ID_279C57439A584415B077F4C890DF6E28",1)</v>
      </c>
      <c r="O155" s="22"/>
    </row>
    <row r="156" ht="30" customHeight="1" spans="1:15">
      <c r="A156" s="9">
        <v>153</v>
      </c>
      <c r="B156" s="23">
        <v>21012137</v>
      </c>
      <c r="C156" s="9" t="s">
        <v>129</v>
      </c>
      <c r="D156" s="61">
        <v>89.66</v>
      </c>
      <c r="E156" s="9">
        <v>0</v>
      </c>
      <c r="F156" s="62">
        <v>89.66</v>
      </c>
      <c r="G156" s="63">
        <f t="shared" si="4"/>
        <v>62.762</v>
      </c>
      <c r="H156" s="64" t="s">
        <v>130</v>
      </c>
      <c r="I156" s="100"/>
      <c r="J156" s="101"/>
      <c r="K156" s="101"/>
      <c r="L156" s="101"/>
      <c r="M156" s="102"/>
      <c r="N156" s="17" t="str">
        <f>_xlfn.DISPIMG("ID_B64F6F61EED545479642DCA2AB2270DF",1)</f>
        <v>=DISPIMG("ID_B64F6F61EED545479642DCA2AB2270DF",1)</v>
      </c>
      <c r="O156" s="22"/>
    </row>
    <row r="157" ht="30" customHeight="1" spans="1:15">
      <c r="A157" s="9">
        <v>154</v>
      </c>
      <c r="B157" s="23">
        <v>21012138</v>
      </c>
      <c r="C157" s="9" t="s">
        <v>115</v>
      </c>
      <c r="D157" s="61">
        <v>86.24</v>
      </c>
      <c r="E157" s="9">
        <v>2</v>
      </c>
      <c r="F157" s="62">
        <v>88.24</v>
      </c>
      <c r="G157" s="63">
        <f t="shared" si="4"/>
        <v>61.768</v>
      </c>
      <c r="H157" s="64" t="s">
        <v>116</v>
      </c>
      <c r="I157" s="100" t="s">
        <v>390</v>
      </c>
      <c r="J157" s="101"/>
      <c r="K157" s="101"/>
      <c r="L157" s="101"/>
      <c r="M157" s="102"/>
      <c r="N157" s="26" t="str">
        <f>_xlfn.DISPIMG("ID_E32CB96C1B1042F894E11EE101ADE999",1)</f>
        <v>=DISPIMG("ID_E32CB96C1B1042F894E11EE101ADE999",1)</v>
      </c>
      <c r="O157" s="22"/>
    </row>
    <row r="158" ht="30" customHeight="1" spans="1:15">
      <c r="A158" s="9">
        <v>155</v>
      </c>
      <c r="B158" s="23">
        <v>21012148</v>
      </c>
      <c r="C158" s="9" t="s">
        <v>28</v>
      </c>
      <c r="D158" s="61">
        <v>89.97</v>
      </c>
      <c r="E158" s="9">
        <v>10</v>
      </c>
      <c r="F158" s="62">
        <v>99.97</v>
      </c>
      <c r="G158" s="63">
        <f t="shared" si="4"/>
        <v>69.979</v>
      </c>
      <c r="H158" s="64" t="s">
        <v>29</v>
      </c>
      <c r="I158" s="91" t="s">
        <v>391</v>
      </c>
      <c r="J158" s="92"/>
      <c r="K158" s="92"/>
      <c r="L158" s="92"/>
      <c r="M158" s="93"/>
      <c r="N158" s="17" t="str">
        <f>_xlfn.DISPIMG("ID_5E591CF41BE34AE2B7D16AFB33A56CD6",1)</f>
        <v>=DISPIMG("ID_5E591CF41BE34AE2B7D16AFB33A56CD6",1)</v>
      </c>
      <c r="O158" s="22"/>
    </row>
    <row r="159" ht="30" customHeight="1" spans="1:15">
      <c r="A159" s="9">
        <v>156</v>
      </c>
      <c r="B159" s="23">
        <v>21012149</v>
      </c>
      <c r="C159" s="9" t="s">
        <v>277</v>
      </c>
      <c r="D159" s="61">
        <v>82.52</v>
      </c>
      <c r="E159" s="9">
        <v>0</v>
      </c>
      <c r="F159" s="62">
        <v>82.52</v>
      </c>
      <c r="G159" s="63">
        <f t="shared" si="4"/>
        <v>57.764</v>
      </c>
      <c r="H159" s="64" t="s">
        <v>278</v>
      </c>
      <c r="I159" s="100"/>
      <c r="J159" s="101"/>
      <c r="K159" s="101"/>
      <c r="L159" s="101"/>
      <c r="M159" s="102"/>
      <c r="N159" s="17" t="str">
        <f>_xlfn.DISPIMG("ID_84EE5AD21811448BA820D0739FC980F6",1)</f>
        <v>=DISPIMG("ID_84EE5AD21811448BA820D0739FC980F6",1)</v>
      </c>
      <c r="O159" s="22"/>
    </row>
    <row r="160" ht="30" customHeight="1" spans="1:15">
      <c r="A160" s="9">
        <v>157</v>
      </c>
      <c r="B160" s="23">
        <v>21012155</v>
      </c>
      <c r="C160" s="9" t="s">
        <v>273</v>
      </c>
      <c r="D160" s="61">
        <v>82.59</v>
      </c>
      <c r="E160" s="9">
        <v>0</v>
      </c>
      <c r="F160" s="62">
        <v>82.59</v>
      </c>
      <c r="G160" s="63">
        <f t="shared" si="4"/>
        <v>57.813</v>
      </c>
      <c r="H160" s="64" t="s">
        <v>274</v>
      </c>
      <c r="I160" s="16"/>
      <c r="J160" s="16"/>
      <c r="K160" s="16"/>
      <c r="L160" s="16"/>
      <c r="M160" s="16"/>
      <c r="N160" s="17" t="str">
        <f>_xlfn.DISPIMG("ID_C438CF61CC024A2FA7E346CDF6E6B1F7",1)</f>
        <v>=DISPIMG("ID_C438CF61CC024A2FA7E346CDF6E6B1F7",1)</v>
      </c>
      <c r="O160" s="22"/>
    </row>
  </sheetData>
  <mergeCells count="159">
    <mergeCell ref="A1:O1"/>
    <mergeCell ref="A2:D2"/>
    <mergeCell ref="I3:M3"/>
    <mergeCell ref="I4:M4"/>
    <mergeCell ref="I5:M5"/>
    <mergeCell ref="I6:M6"/>
    <mergeCell ref="I7:M7"/>
    <mergeCell ref="I8:M8"/>
    <mergeCell ref="I9:M9"/>
    <mergeCell ref="I10:M10"/>
    <mergeCell ref="I11:M11"/>
    <mergeCell ref="I12:M12"/>
    <mergeCell ref="I13:M13"/>
    <mergeCell ref="I14:M14"/>
    <mergeCell ref="I15:M15"/>
    <mergeCell ref="I16:M16"/>
    <mergeCell ref="I17:M17"/>
    <mergeCell ref="I18:M18"/>
    <mergeCell ref="I19:M19"/>
    <mergeCell ref="I20:M20"/>
    <mergeCell ref="I21:M21"/>
    <mergeCell ref="I22:M22"/>
    <mergeCell ref="I23:M23"/>
    <mergeCell ref="I24:M24"/>
    <mergeCell ref="I25:M25"/>
    <mergeCell ref="I26:M26"/>
    <mergeCell ref="I27:M27"/>
    <mergeCell ref="I28:M28"/>
    <mergeCell ref="I29:M29"/>
    <mergeCell ref="I30:M30"/>
    <mergeCell ref="I31:M31"/>
    <mergeCell ref="I32:M32"/>
    <mergeCell ref="I33:M33"/>
    <mergeCell ref="I34:M34"/>
    <mergeCell ref="I35:M35"/>
    <mergeCell ref="I36:M36"/>
    <mergeCell ref="I37:M37"/>
    <mergeCell ref="I38:M38"/>
    <mergeCell ref="I39:M39"/>
    <mergeCell ref="I40:M40"/>
    <mergeCell ref="I41:M41"/>
    <mergeCell ref="I42:M42"/>
    <mergeCell ref="I43:M43"/>
    <mergeCell ref="I44:M44"/>
    <mergeCell ref="I45:M45"/>
    <mergeCell ref="I46:M46"/>
    <mergeCell ref="I47:M47"/>
    <mergeCell ref="I48:M48"/>
    <mergeCell ref="I49:M49"/>
    <mergeCell ref="I50:M50"/>
    <mergeCell ref="I51:M51"/>
    <mergeCell ref="I52:M52"/>
    <mergeCell ref="I53:M53"/>
    <mergeCell ref="I54:M54"/>
    <mergeCell ref="I55:M55"/>
    <mergeCell ref="I56:M56"/>
    <mergeCell ref="I57:M57"/>
    <mergeCell ref="I58:M58"/>
    <mergeCell ref="I59:M59"/>
    <mergeCell ref="I60:M60"/>
    <mergeCell ref="I61:M61"/>
    <mergeCell ref="I62:M62"/>
    <mergeCell ref="I63:M63"/>
    <mergeCell ref="I64:M64"/>
    <mergeCell ref="I65:M65"/>
    <mergeCell ref="I66:M66"/>
    <mergeCell ref="I67:M67"/>
    <mergeCell ref="I69:M69"/>
    <mergeCell ref="I70:M70"/>
    <mergeCell ref="I71:M71"/>
    <mergeCell ref="I72:M72"/>
    <mergeCell ref="I73:M73"/>
    <mergeCell ref="I74:M74"/>
    <mergeCell ref="I75:M75"/>
    <mergeCell ref="I76:M76"/>
    <mergeCell ref="I77:M77"/>
    <mergeCell ref="I78:M78"/>
    <mergeCell ref="I79:M79"/>
    <mergeCell ref="I80:M80"/>
    <mergeCell ref="I81:M81"/>
    <mergeCell ref="I82:M82"/>
    <mergeCell ref="I83:M83"/>
    <mergeCell ref="I84:M84"/>
    <mergeCell ref="I85:M85"/>
    <mergeCell ref="I86:M86"/>
    <mergeCell ref="I87:M87"/>
    <mergeCell ref="I88:M88"/>
    <mergeCell ref="I89:M89"/>
    <mergeCell ref="I90:M90"/>
    <mergeCell ref="I91:M91"/>
    <mergeCell ref="I92:M92"/>
    <mergeCell ref="I93:M93"/>
    <mergeCell ref="I94:M94"/>
    <mergeCell ref="I95:M95"/>
    <mergeCell ref="I96:M96"/>
    <mergeCell ref="I97:M97"/>
    <mergeCell ref="I98:M98"/>
    <mergeCell ref="I99:M99"/>
    <mergeCell ref="I100:M100"/>
    <mergeCell ref="I101:M101"/>
    <mergeCell ref="I102:M102"/>
    <mergeCell ref="I103:M103"/>
    <mergeCell ref="I104:M104"/>
    <mergeCell ref="I105:M105"/>
    <mergeCell ref="I106:M106"/>
    <mergeCell ref="I107:M107"/>
    <mergeCell ref="I108:M108"/>
    <mergeCell ref="I109:M109"/>
    <mergeCell ref="I110:M110"/>
    <mergeCell ref="I111:M111"/>
    <mergeCell ref="I112:M112"/>
    <mergeCell ref="I113:M113"/>
    <mergeCell ref="I114:M114"/>
    <mergeCell ref="I115:M115"/>
    <mergeCell ref="I116:M116"/>
    <mergeCell ref="I117:M117"/>
    <mergeCell ref="I118:M118"/>
    <mergeCell ref="I119:M119"/>
    <mergeCell ref="I120:M120"/>
    <mergeCell ref="I121:M121"/>
    <mergeCell ref="I122:M122"/>
    <mergeCell ref="I123:M123"/>
    <mergeCell ref="I124:M124"/>
    <mergeCell ref="I125:M125"/>
    <mergeCell ref="I126:M126"/>
    <mergeCell ref="I127:M127"/>
    <mergeCell ref="I128:M128"/>
    <mergeCell ref="I129:M129"/>
    <mergeCell ref="I130:M130"/>
    <mergeCell ref="I131:M131"/>
    <mergeCell ref="I132:M132"/>
    <mergeCell ref="I133:M133"/>
    <mergeCell ref="I134:M134"/>
    <mergeCell ref="I135:M135"/>
    <mergeCell ref="I136:M136"/>
    <mergeCell ref="I137:M137"/>
    <mergeCell ref="I138:M138"/>
    <mergeCell ref="I139:M139"/>
    <mergeCell ref="I140:M140"/>
    <mergeCell ref="I141:M141"/>
    <mergeCell ref="I142:M142"/>
    <mergeCell ref="I143:M143"/>
    <mergeCell ref="I144:M144"/>
    <mergeCell ref="I145:M145"/>
    <mergeCell ref="I146:M146"/>
    <mergeCell ref="I147:M147"/>
    <mergeCell ref="I148:M148"/>
    <mergeCell ref="I149:M149"/>
    <mergeCell ref="I150:M150"/>
    <mergeCell ref="I151:M151"/>
    <mergeCell ref="I152:M152"/>
    <mergeCell ref="I153:M153"/>
    <mergeCell ref="I154:M154"/>
    <mergeCell ref="I155:M155"/>
    <mergeCell ref="I156:M156"/>
    <mergeCell ref="I157:M157"/>
    <mergeCell ref="I158:M158"/>
    <mergeCell ref="I159:M159"/>
    <mergeCell ref="I160:M160"/>
  </mergeCells>
  <pageMargins left="0.7" right="0.7" top="0.75" bottom="0.75" header="0.3" footer="0.3"/>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160"/>
  <sheetViews>
    <sheetView zoomScale="85" zoomScaleNormal="85" workbookViewId="0">
      <selection activeCell="A1" sqref="A1:P1"/>
    </sheetView>
  </sheetViews>
  <sheetFormatPr defaultColWidth="9" defaultRowHeight="16.5"/>
  <cols>
    <col min="1" max="1" width="14.5555555555556" style="2" customWidth="1"/>
    <col min="2" max="2" width="11.3333333333333" style="3" customWidth="1"/>
    <col min="3" max="3" width="10.8888888888889" style="3" customWidth="1"/>
    <col min="4" max="5" width="20.4444444444444" style="2" customWidth="1"/>
    <col min="6" max="6" width="5.88888888888889" style="2" customWidth="1"/>
    <col min="7" max="7" width="6.77777777777778" style="2" customWidth="1"/>
    <col min="8" max="8" width="14.1111111111111" style="2" customWidth="1"/>
    <col min="9" max="9" width="15.3333333333333" style="2" customWidth="1"/>
    <col min="10" max="10" width="35.3185185185185" style="3" customWidth="1"/>
    <col min="11" max="11" width="15.2" style="3" customWidth="1"/>
    <col min="12" max="12" width="2.8" style="3" customWidth="1"/>
    <col min="13" max="13" width="6.53333333333333" style="3" customWidth="1"/>
    <col min="14" max="14" width="8.85925925925926" style="3" customWidth="1"/>
    <col min="15" max="15" width="10.4444444444444" style="3" customWidth="1"/>
    <col min="16" max="16" width="5.88888888888889" style="3" customWidth="1"/>
    <col min="17" max="16384" width="9" style="3"/>
  </cols>
  <sheetData>
    <row r="1" ht="22.7" customHeight="1" spans="1:16">
      <c r="A1" s="4" t="s">
        <v>392</v>
      </c>
      <c r="B1" s="4"/>
      <c r="C1" s="4"/>
      <c r="D1" s="4"/>
      <c r="E1" s="4"/>
      <c r="F1" s="4"/>
      <c r="G1" s="4"/>
      <c r="H1" s="4"/>
      <c r="I1" s="4"/>
      <c r="J1" s="4"/>
      <c r="K1" s="4"/>
      <c r="L1" s="4"/>
      <c r="M1" s="4"/>
      <c r="N1" s="4"/>
      <c r="O1" s="4"/>
      <c r="P1" s="4"/>
    </row>
    <row r="2" ht="18.4" customHeight="1" spans="1:16">
      <c r="A2" s="5" t="s">
        <v>1</v>
      </c>
      <c r="B2" s="34"/>
      <c r="C2" s="34"/>
      <c r="D2" s="5"/>
      <c r="E2" s="6"/>
      <c r="F2" s="6"/>
      <c r="G2" s="6"/>
      <c r="H2" s="6"/>
      <c r="I2" s="6"/>
      <c r="J2" s="13"/>
      <c r="K2" s="13"/>
      <c r="L2" s="13"/>
      <c r="M2" s="13"/>
      <c r="N2" s="13"/>
      <c r="O2" s="13"/>
      <c r="P2" s="13"/>
    </row>
    <row r="3" ht="36.85" customHeight="1" spans="1:16">
      <c r="A3" s="7" t="s">
        <v>2</v>
      </c>
      <c r="B3" s="7" t="s">
        <v>3</v>
      </c>
      <c r="C3" s="7" t="s">
        <v>4</v>
      </c>
      <c r="D3" s="7" t="s">
        <v>393</v>
      </c>
      <c r="E3" s="7" t="s">
        <v>394</v>
      </c>
      <c r="F3" s="7" t="s">
        <v>395</v>
      </c>
      <c r="G3" s="7" t="s">
        <v>327</v>
      </c>
      <c r="H3" s="8" t="s">
        <v>396</v>
      </c>
      <c r="I3" s="7" t="s">
        <v>397</v>
      </c>
      <c r="J3" s="41" t="s">
        <v>330</v>
      </c>
      <c r="K3" s="42"/>
      <c r="L3" s="42"/>
      <c r="M3" s="42"/>
      <c r="N3" s="43"/>
      <c r="O3" s="7" t="s">
        <v>16</v>
      </c>
      <c r="P3" s="7" t="s">
        <v>17</v>
      </c>
    </row>
    <row r="4" s="33" customFormat="1" ht="30" customHeight="1" spans="1:16">
      <c r="A4" s="23">
        <v>1</v>
      </c>
      <c r="B4" s="35">
        <v>21012003</v>
      </c>
      <c r="C4" s="35" t="s">
        <v>284</v>
      </c>
      <c r="D4" s="23">
        <v>60</v>
      </c>
      <c r="E4" s="23">
        <v>0</v>
      </c>
      <c r="F4" s="23">
        <v>0</v>
      </c>
      <c r="G4" s="23">
        <v>60</v>
      </c>
      <c r="H4" s="23">
        <f>G4*0.2</f>
        <v>12</v>
      </c>
      <c r="I4" s="15">
        <v>124</v>
      </c>
      <c r="J4" s="35"/>
      <c r="K4" s="35"/>
      <c r="L4" s="35"/>
      <c r="M4" s="35"/>
      <c r="N4" s="35"/>
      <c r="O4" s="17" t="str">
        <f>_xlfn.DISPIMG("ID_896B9B305CF24B5AA7BED551FA90A4A5",1)</f>
        <v>=DISPIMG("ID_896B9B305CF24B5AA7BED551FA90A4A5",1)</v>
      </c>
      <c r="P4" s="35"/>
    </row>
    <row r="5" s="33" customFormat="1" ht="30" customHeight="1" spans="1:16">
      <c r="A5" s="23">
        <v>2</v>
      </c>
      <c r="B5" s="35">
        <v>21009001</v>
      </c>
      <c r="C5" s="35" t="s">
        <v>192</v>
      </c>
      <c r="D5" s="23">
        <v>60</v>
      </c>
      <c r="E5" s="23">
        <v>0</v>
      </c>
      <c r="F5" s="23">
        <v>0</v>
      </c>
      <c r="G5" s="23">
        <v>60</v>
      </c>
      <c r="H5" s="23">
        <f t="shared" ref="H5:H36" si="0">G5*0.2</f>
        <v>12</v>
      </c>
      <c r="I5" s="15">
        <v>124</v>
      </c>
      <c r="J5" s="35"/>
      <c r="K5" s="35"/>
      <c r="L5" s="35"/>
      <c r="M5" s="35"/>
      <c r="N5" s="35"/>
      <c r="O5" s="16" t="str">
        <f>_xlfn.DISPIMG("ID_A0ED9F92782A4B2083F7E7270BBF994B",1)</f>
        <v>=DISPIMG("ID_A0ED9F92782A4B2083F7E7270BBF994B",1)</v>
      </c>
      <c r="P5" s="35"/>
    </row>
    <row r="6" s="33" customFormat="1" ht="30" customHeight="1" spans="1:16">
      <c r="A6" s="23">
        <v>3</v>
      </c>
      <c r="B6" s="35">
        <v>21012088</v>
      </c>
      <c r="C6" s="35" t="s">
        <v>259</v>
      </c>
      <c r="D6" s="23">
        <v>60</v>
      </c>
      <c r="E6" s="36">
        <v>7</v>
      </c>
      <c r="F6" s="23">
        <v>0</v>
      </c>
      <c r="G6" s="23">
        <v>67.5</v>
      </c>
      <c r="H6" s="23">
        <f t="shared" si="0"/>
        <v>13.5</v>
      </c>
      <c r="I6" s="15">
        <v>29</v>
      </c>
      <c r="J6" s="44" t="s">
        <v>398</v>
      </c>
      <c r="K6" s="44"/>
      <c r="L6" s="44"/>
      <c r="M6" s="44"/>
      <c r="N6" s="44"/>
      <c r="O6" s="17" t="str">
        <f>_xlfn.DISPIMG("ID_F3BED46223DC482097C96DA3EEC66E4A",1)</f>
        <v>=DISPIMG("ID_F3BED46223DC482097C96DA3EEC66E4A",1)</v>
      </c>
      <c r="P6" s="35"/>
    </row>
    <row r="7" s="33" customFormat="1" ht="30" customHeight="1" spans="1:16">
      <c r="A7" s="23">
        <v>4</v>
      </c>
      <c r="B7" s="35">
        <v>20015058</v>
      </c>
      <c r="C7" s="35" t="s">
        <v>196</v>
      </c>
      <c r="D7" s="23">
        <v>60</v>
      </c>
      <c r="E7" s="23">
        <v>0</v>
      </c>
      <c r="F7" s="23">
        <v>0</v>
      </c>
      <c r="G7" s="23">
        <v>60</v>
      </c>
      <c r="H7" s="23">
        <f t="shared" si="0"/>
        <v>12</v>
      </c>
      <c r="I7" s="15">
        <v>124</v>
      </c>
      <c r="J7" s="35"/>
      <c r="K7" s="35"/>
      <c r="L7" s="35"/>
      <c r="M7" s="35"/>
      <c r="N7" s="35"/>
      <c r="O7" s="17" t="str">
        <f>_xlfn.DISPIMG("ID_9E29C34F5F0C4983BEA18F93222BD755",1)</f>
        <v>=DISPIMG("ID_9E29C34F5F0C4983BEA18F93222BD755",1)</v>
      </c>
      <c r="P7" s="35"/>
    </row>
    <row r="8" s="33" customFormat="1" ht="30" customHeight="1" spans="1:16">
      <c r="A8" s="23">
        <v>5</v>
      </c>
      <c r="B8" s="35">
        <v>21012012</v>
      </c>
      <c r="C8" s="35" t="s">
        <v>156</v>
      </c>
      <c r="D8" s="23">
        <v>60</v>
      </c>
      <c r="E8" s="23">
        <v>0.5</v>
      </c>
      <c r="F8" s="23">
        <v>0</v>
      </c>
      <c r="G8" s="23">
        <v>60.5</v>
      </c>
      <c r="H8" s="23">
        <f t="shared" si="0"/>
        <v>12.1</v>
      </c>
      <c r="I8" s="15">
        <v>115</v>
      </c>
      <c r="J8" s="35" t="s">
        <v>399</v>
      </c>
      <c r="K8" s="35"/>
      <c r="L8" s="35"/>
      <c r="M8" s="35"/>
      <c r="N8" s="35"/>
      <c r="O8" s="17" t="str">
        <f>_xlfn.DISPIMG("ID_0C839F862A664C029963589E7E4794FF",1)</f>
        <v>=DISPIMG("ID_0C839F862A664C029963589E7E4794FF",1)</v>
      </c>
      <c r="P8" s="35"/>
    </row>
    <row r="9" s="33" customFormat="1" ht="30" customHeight="1" spans="1:16">
      <c r="A9" s="23">
        <v>6</v>
      </c>
      <c r="B9" s="35">
        <v>21012053</v>
      </c>
      <c r="C9" s="35" t="s">
        <v>232</v>
      </c>
      <c r="D9" s="23">
        <v>60</v>
      </c>
      <c r="E9" s="23">
        <v>0</v>
      </c>
      <c r="F9" s="23">
        <v>0</v>
      </c>
      <c r="G9" s="23">
        <v>60</v>
      </c>
      <c r="H9" s="23">
        <f t="shared" si="0"/>
        <v>12</v>
      </c>
      <c r="I9" s="15">
        <v>124</v>
      </c>
      <c r="J9" s="35"/>
      <c r="K9" s="35"/>
      <c r="L9" s="35"/>
      <c r="M9" s="35"/>
      <c r="N9" s="35"/>
      <c r="O9" s="17" t="str">
        <f>_xlfn.DISPIMG("ID_81E7EAB4B5BA4F6184E3D0BBA150608D",1)</f>
        <v>=DISPIMG("ID_81E7EAB4B5BA4F6184E3D0BBA150608D",1)</v>
      </c>
      <c r="P9" s="35"/>
    </row>
    <row r="10" s="33" customFormat="1" ht="30" customHeight="1" spans="1:16">
      <c r="A10" s="23">
        <v>7</v>
      </c>
      <c r="B10" s="35">
        <v>21012079</v>
      </c>
      <c r="C10" s="35" t="s">
        <v>174</v>
      </c>
      <c r="D10" s="23">
        <v>60</v>
      </c>
      <c r="E10" s="23">
        <v>4</v>
      </c>
      <c r="F10" s="23">
        <v>0</v>
      </c>
      <c r="G10" s="23">
        <v>64</v>
      </c>
      <c r="H10" s="23">
        <f t="shared" si="0"/>
        <v>12.8</v>
      </c>
      <c r="I10" s="15">
        <v>48</v>
      </c>
      <c r="J10" s="35" t="s">
        <v>400</v>
      </c>
      <c r="K10" s="35"/>
      <c r="L10" s="35"/>
      <c r="M10" s="35"/>
      <c r="N10" s="35"/>
      <c r="O10" s="17" t="str">
        <f>_xlfn.DISPIMG("ID_87D21CDCA16E44118DE941A6434849DD",1)</f>
        <v>=DISPIMG("ID_87D21CDCA16E44118DE941A6434849DD",1)</v>
      </c>
      <c r="P10" s="35"/>
    </row>
    <row r="11" s="33" customFormat="1" ht="30" customHeight="1" spans="1:16">
      <c r="A11" s="23">
        <v>8</v>
      </c>
      <c r="B11" s="35">
        <v>21012101</v>
      </c>
      <c r="C11" s="35" t="s">
        <v>219</v>
      </c>
      <c r="D11" s="23">
        <v>60</v>
      </c>
      <c r="E11" s="23">
        <v>0</v>
      </c>
      <c r="F11" s="23">
        <v>0</v>
      </c>
      <c r="G11" s="23">
        <v>60</v>
      </c>
      <c r="H11" s="23">
        <f t="shared" si="0"/>
        <v>12</v>
      </c>
      <c r="I11" s="15">
        <v>124</v>
      </c>
      <c r="J11" s="35"/>
      <c r="K11" s="35"/>
      <c r="L11" s="35"/>
      <c r="M11" s="35"/>
      <c r="N11" s="35"/>
      <c r="O11" s="17" t="str">
        <f>_xlfn.DISPIMG("ID_1735D640A5DA49EE8F64060DB78884E5",1)</f>
        <v>=DISPIMG("ID_1735D640A5DA49EE8F64060DB78884E5",1)</v>
      </c>
      <c r="P11" s="35"/>
    </row>
    <row r="12" s="33" customFormat="1" ht="30" customHeight="1" spans="1:16">
      <c r="A12" s="23">
        <v>9</v>
      </c>
      <c r="B12" s="35">
        <v>21012128</v>
      </c>
      <c r="C12" s="35" t="s">
        <v>141</v>
      </c>
      <c r="D12" s="23">
        <v>60</v>
      </c>
      <c r="E12" s="23">
        <v>4</v>
      </c>
      <c r="F12" s="23">
        <v>0</v>
      </c>
      <c r="G12" s="23">
        <v>64</v>
      </c>
      <c r="H12" s="23">
        <f t="shared" si="0"/>
        <v>12.8</v>
      </c>
      <c r="I12" s="15">
        <v>48</v>
      </c>
      <c r="J12" s="44" t="s">
        <v>401</v>
      </c>
      <c r="K12" s="44"/>
      <c r="L12" s="44"/>
      <c r="M12" s="44"/>
      <c r="N12" s="44"/>
      <c r="O12" s="17" t="str">
        <f>_xlfn.DISPIMG("ID_5372E853EC7A45ECB1232CC24068C45D",1)</f>
        <v>=DISPIMG("ID_5372E853EC7A45ECB1232CC24068C45D",1)</v>
      </c>
      <c r="P12" s="35"/>
    </row>
    <row r="13" s="33" customFormat="1" ht="30" customHeight="1" spans="1:16">
      <c r="A13" s="23">
        <v>10</v>
      </c>
      <c r="B13" s="35">
        <v>21012102</v>
      </c>
      <c r="C13" s="35" t="s">
        <v>78</v>
      </c>
      <c r="D13" s="23">
        <v>62</v>
      </c>
      <c r="E13" s="23">
        <v>2</v>
      </c>
      <c r="F13" s="23">
        <v>0</v>
      </c>
      <c r="G13" s="23">
        <v>62</v>
      </c>
      <c r="H13" s="23">
        <f t="shared" si="0"/>
        <v>12.4</v>
      </c>
      <c r="I13" s="15">
        <v>85</v>
      </c>
      <c r="J13" s="35" t="s">
        <v>402</v>
      </c>
      <c r="K13" s="35"/>
      <c r="L13" s="35"/>
      <c r="M13" s="35"/>
      <c r="N13" s="35"/>
      <c r="O13" s="17" t="str">
        <f>_xlfn.DISPIMG("ID_F9B1C80F5F334639B3AE9CD29B656ABC",1)</f>
        <v>=DISPIMG("ID_F9B1C80F5F334639B3AE9CD29B656ABC",1)</v>
      </c>
      <c r="P13" s="35"/>
    </row>
    <row r="14" s="33" customFormat="1" ht="30" customHeight="1" spans="1:16">
      <c r="A14" s="23">
        <v>11</v>
      </c>
      <c r="B14" s="35">
        <v>21012093</v>
      </c>
      <c r="C14" s="35" t="s">
        <v>238</v>
      </c>
      <c r="D14" s="23">
        <v>60</v>
      </c>
      <c r="E14" s="23">
        <v>0</v>
      </c>
      <c r="F14" s="23">
        <v>0</v>
      </c>
      <c r="G14" s="23">
        <v>60</v>
      </c>
      <c r="H14" s="23">
        <f t="shared" si="0"/>
        <v>12</v>
      </c>
      <c r="I14" s="15">
        <v>124</v>
      </c>
      <c r="J14" s="35"/>
      <c r="K14" s="35"/>
      <c r="L14" s="35"/>
      <c r="M14" s="35"/>
      <c r="N14" s="35"/>
      <c r="O14" s="17" t="str">
        <f>_xlfn.DISPIMG("ID_91E52A1D90904F4DBBA2995715A7F88D",1)</f>
        <v>=DISPIMG("ID_91E52A1D90904F4DBBA2995715A7F88D",1)</v>
      </c>
      <c r="P14" s="35"/>
    </row>
    <row r="15" s="33" customFormat="1" ht="30" customHeight="1" spans="1:16">
      <c r="A15" s="23">
        <v>12</v>
      </c>
      <c r="B15" s="35">
        <v>21012033</v>
      </c>
      <c r="C15" s="35" t="s">
        <v>288</v>
      </c>
      <c r="D15" s="23">
        <v>60</v>
      </c>
      <c r="E15" s="23">
        <v>0</v>
      </c>
      <c r="F15" s="23">
        <v>0</v>
      </c>
      <c r="G15" s="23">
        <v>60</v>
      </c>
      <c r="H15" s="23">
        <f t="shared" si="0"/>
        <v>12</v>
      </c>
      <c r="I15" s="15">
        <v>124</v>
      </c>
      <c r="J15" s="35"/>
      <c r="K15" s="35"/>
      <c r="L15" s="35"/>
      <c r="M15" s="35"/>
      <c r="N15" s="35"/>
      <c r="O15" s="17" t="str">
        <f>_xlfn.DISPIMG("ID_A3F66522628A404E81F03787679B656F",1)</f>
        <v>=DISPIMG("ID_A3F66522628A404E81F03787679B656F",1)</v>
      </c>
      <c r="P15" s="35"/>
    </row>
    <row r="16" s="33" customFormat="1" ht="30" customHeight="1" spans="1:16">
      <c r="A16" s="23">
        <v>13</v>
      </c>
      <c r="B16" s="35">
        <v>21012154</v>
      </c>
      <c r="C16" s="35" t="s">
        <v>158</v>
      </c>
      <c r="D16" s="23">
        <v>60</v>
      </c>
      <c r="E16" s="23">
        <v>0.5</v>
      </c>
      <c r="F16" s="23">
        <v>0</v>
      </c>
      <c r="G16" s="23">
        <v>60.5</v>
      </c>
      <c r="H16" s="23">
        <f t="shared" si="0"/>
        <v>12.1</v>
      </c>
      <c r="I16" s="15">
        <v>115</v>
      </c>
      <c r="J16" s="44" t="s">
        <v>403</v>
      </c>
      <c r="K16" s="44"/>
      <c r="L16" s="44"/>
      <c r="M16" s="44"/>
      <c r="N16" s="44"/>
      <c r="O16" s="17" t="str">
        <f>_xlfn.DISPIMG("ID_1605796E3E1A48B38CC389A4767902B1",1)</f>
        <v>=DISPIMG("ID_1605796E3E1A48B38CC389A4767902B1",1)</v>
      </c>
      <c r="P16" s="35"/>
    </row>
    <row r="17" s="33" customFormat="1" ht="30" customHeight="1" spans="1:16">
      <c r="A17" s="23">
        <v>14</v>
      </c>
      <c r="B17" s="35">
        <v>21012001</v>
      </c>
      <c r="C17" s="35" t="s">
        <v>86</v>
      </c>
      <c r="D17" s="23">
        <v>60</v>
      </c>
      <c r="E17" s="36">
        <v>6.5</v>
      </c>
      <c r="F17" s="23">
        <v>0</v>
      </c>
      <c r="G17" s="23">
        <v>66.5</v>
      </c>
      <c r="H17" s="23">
        <f t="shared" si="0"/>
        <v>13.3</v>
      </c>
      <c r="I17" s="15">
        <v>35</v>
      </c>
      <c r="J17" s="44" t="s">
        <v>404</v>
      </c>
      <c r="K17" s="44"/>
      <c r="L17" s="44"/>
      <c r="M17" s="44"/>
      <c r="N17" s="44"/>
      <c r="O17" s="17" t="str">
        <f>_xlfn.DISPIMG("ID_97ACCF2C812546D78854E9CC80109562",1)</f>
        <v>=DISPIMG("ID_97ACCF2C812546D78854E9CC80109562",1)</v>
      </c>
      <c r="P17" s="35"/>
    </row>
    <row r="18" s="33" customFormat="1" ht="30" customHeight="1" spans="1:16">
      <c r="A18" s="23">
        <v>15</v>
      </c>
      <c r="B18" s="35">
        <v>21012096</v>
      </c>
      <c r="C18" s="35" t="s">
        <v>215</v>
      </c>
      <c r="D18" s="23">
        <v>60</v>
      </c>
      <c r="E18" s="23">
        <v>0</v>
      </c>
      <c r="F18" s="23">
        <v>0</v>
      </c>
      <c r="G18" s="23">
        <v>60</v>
      </c>
      <c r="H18" s="23">
        <f t="shared" si="0"/>
        <v>12</v>
      </c>
      <c r="I18" s="15">
        <v>124</v>
      </c>
      <c r="J18" s="35"/>
      <c r="K18" s="35"/>
      <c r="L18" s="35"/>
      <c r="M18" s="35"/>
      <c r="N18" s="35"/>
      <c r="O18" s="16" t="str">
        <f>_xlfn.DISPIMG("ID_D6D1C95FA72545CDB236760FA3BB4993",1)</f>
        <v>=DISPIMG("ID_D6D1C95FA72545CDB236760FA3BB4993",1)</v>
      </c>
      <c r="P18" s="35"/>
    </row>
    <row r="19" s="33" customFormat="1" ht="30" customHeight="1" spans="1:16">
      <c r="A19" s="23">
        <v>16</v>
      </c>
      <c r="B19" s="35">
        <v>21012054</v>
      </c>
      <c r="C19" s="35" t="s">
        <v>198</v>
      </c>
      <c r="D19" s="23">
        <v>60</v>
      </c>
      <c r="E19" s="23">
        <v>0</v>
      </c>
      <c r="F19" s="23">
        <v>0</v>
      </c>
      <c r="G19" s="23">
        <v>60</v>
      </c>
      <c r="H19" s="23">
        <f t="shared" si="0"/>
        <v>12</v>
      </c>
      <c r="I19" s="15">
        <v>124</v>
      </c>
      <c r="J19" s="35"/>
      <c r="K19" s="35"/>
      <c r="L19" s="35"/>
      <c r="M19" s="35"/>
      <c r="N19" s="35"/>
      <c r="O19" s="16" t="str">
        <f>_xlfn.DISPIMG("ID_CB9124AFDCD8499AA7C8DA3C0B4E92EC",1)</f>
        <v>=DISPIMG("ID_CB9124AFDCD8499AA7C8DA3C0B4E92EC",1)</v>
      </c>
      <c r="P19" s="35"/>
    </row>
    <row r="20" s="33" customFormat="1" ht="30" customHeight="1" spans="1:16">
      <c r="A20" s="23">
        <v>17</v>
      </c>
      <c r="B20" s="35">
        <v>21012131</v>
      </c>
      <c r="C20" s="35" t="s">
        <v>90</v>
      </c>
      <c r="D20" s="23">
        <v>60</v>
      </c>
      <c r="E20" s="23">
        <v>3</v>
      </c>
      <c r="F20" s="23">
        <v>0</v>
      </c>
      <c r="G20" s="23">
        <v>63</v>
      </c>
      <c r="H20" s="23">
        <f t="shared" si="0"/>
        <v>12.6</v>
      </c>
      <c r="I20" s="15">
        <v>77</v>
      </c>
      <c r="J20" s="35" t="s">
        <v>405</v>
      </c>
      <c r="K20" s="35"/>
      <c r="L20" s="35"/>
      <c r="M20" s="35"/>
      <c r="N20" s="35"/>
      <c r="O20" s="17" t="str">
        <f>_xlfn.DISPIMG("ID_FD4B1C87DA8E42BDA81BD5E38279DBE6",1)</f>
        <v>=DISPIMG("ID_FD4B1C87DA8E42BDA81BD5E38279DBE6",1)</v>
      </c>
      <c r="P20" s="35"/>
    </row>
    <row r="21" s="33" customFormat="1" ht="30" customHeight="1" spans="1:16">
      <c r="A21" s="23">
        <v>18</v>
      </c>
      <c r="B21" s="35">
        <v>21012143</v>
      </c>
      <c r="C21" s="35" t="s">
        <v>113</v>
      </c>
      <c r="D21" s="23">
        <v>60</v>
      </c>
      <c r="E21" s="23">
        <v>7</v>
      </c>
      <c r="F21" s="23">
        <v>0</v>
      </c>
      <c r="G21" s="23">
        <v>67</v>
      </c>
      <c r="H21" s="23">
        <f t="shared" si="0"/>
        <v>13.4</v>
      </c>
      <c r="I21" s="15">
        <v>32</v>
      </c>
      <c r="J21" s="44" t="s">
        <v>406</v>
      </c>
      <c r="K21" s="44"/>
      <c r="L21" s="44"/>
      <c r="M21" s="44"/>
      <c r="N21" s="44"/>
      <c r="O21" s="17" t="str">
        <f>_xlfn.DISPIMG("ID_BAEB1F49AB0D4522A452FE114611C02A",1)</f>
        <v>=DISPIMG("ID_BAEB1F49AB0D4522A452FE114611C02A",1)</v>
      </c>
      <c r="P21" s="35"/>
    </row>
    <row r="22" s="33" customFormat="1" ht="30" customHeight="1" spans="1:16">
      <c r="A22" s="23">
        <v>19</v>
      </c>
      <c r="B22" s="35">
        <v>21012078</v>
      </c>
      <c r="C22" s="35" t="s">
        <v>167</v>
      </c>
      <c r="D22" s="23">
        <v>60</v>
      </c>
      <c r="E22" s="23">
        <v>2</v>
      </c>
      <c r="F22" s="23">
        <v>0</v>
      </c>
      <c r="G22" s="23">
        <v>62</v>
      </c>
      <c r="H22" s="23">
        <f t="shared" si="0"/>
        <v>12.4</v>
      </c>
      <c r="I22" s="15">
        <v>85</v>
      </c>
      <c r="J22" s="35" t="s">
        <v>407</v>
      </c>
      <c r="K22" s="35"/>
      <c r="L22" s="35"/>
      <c r="M22" s="35"/>
      <c r="N22" s="35"/>
      <c r="O22" s="17" t="str">
        <f>_xlfn.DISPIMG("ID_2C4D2DA37134483AA3780C4F791F8EB2",1)</f>
        <v>=DISPIMG("ID_2C4D2DA37134483AA3780C4F791F8EB2",1)</v>
      </c>
      <c r="P22" s="35"/>
    </row>
    <row r="23" s="33" customFormat="1" ht="30" customHeight="1" spans="1:16">
      <c r="A23" s="23">
        <v>20</v>
      </c>
      <c r="B23" s="35">
        <v>21012113</v>
      </c>
      <c r="C23" s="35" t="s">
        <v>178</v>
      </c>
      <c r="D23" s="23">
        <v>60</v>
      </c>
      <c r="E23" s="23">
        <v>2</v>
      </c>
      <c r="F23" s="23">
        <v>0</v>
      </c>
      <c r="G23" s="23">
        <v>62</v>
      </c>
      <c r="H23" s="23">
        <f t="shared" si="0"/>
        <v>12.4</v>
      </c>
      <c r="I23" s="15">
        <v>85</v>
      </c>
      <c r="J23" s="35" t="s">
        <v>408</v>
      </c>
      <c r="K23" s="35"/>
      <c r="L23" s="35"/>
      <c r="M23" s="35"/>
      <c r="N23" s="35"/>
      <c r="O23" s="17" t="str">
        <f>_xlfn.DISPIMG("ID_D84BBA745712481AA8F0E26A934F5C81",1)</f>
        <v>=DISPIMG("ID_D84BBA745712481AA8F0E26A934F5C81",1)</v>
      </c>
      <c r="P23" s="35"/>
    </row>
    <row r="24" s="33" customFormat="1" ht="30" customHeight="1" spans="1:16">
      <c r="A24" s="23">
        <v>21</v>
      </c>
      <c r="B24" s="35">
        <v>20002033</v>
      </c>
      <c r="C24" s="35" t="s">
        <v>105</v>
      </c>
      <c r="D24" s="23">
        <v>60</v>
      </c>
      <c r="E24" s="23">
        <v>0.5</v>
      </c>
      <c r="F24" s="23">
        <v>0</v>
      </c>
      <c r="G24" s="23">
        <v>60.5</v>
      </c>
      <c r="H24" s="23">
        <f t="shared" si="0"/>
        <v>12.1</v>
      </c>
      <c r="I24" s="15">
        <v>115</v>
      </c>
      <c r="J24" s="35" t="s">
        <v>409</v>
      </c>
      <c r="K24" s="35"/>
      <c r="L24" s="35"/>
      <c r="M24" s="35"/>
      <c r="N24" s="35"/>
      <c r="O24" s="17" t="str">
        <f>_xlfn.DISPIMG("ID_08B050D2775D49F4A8F3C98C29DD1DDA",1)</f>
        <v>=DISPIMG("ID_08B050D2775D49F4A8F3C98C29DD1DDA",1)</v>
      </c>
      <c r="P24" s="35"/>
    </row>
    <row r="25" s="33" customFormat="1" ht="30" customHeight="1" spans="1:16">
      <c r="A25" s="23">
        <v>22</v>
      </c>
      <c r="B25" s="35">
        <v>21012142</v>
      </c>
      <c r="C25" s="35" t="s">
        <v>188</v>
      </c>
      <c r="D25" s="23">
        <v>60</v>
      </c>
      <c r="E25" s="23">
        <v>2</v>
      </c>
      <c r="F25" s="23">
        <v>0</v>
      </c>
      <c r="G25" s="23">
        <v>62</v>
      </c>
      <c r="H25" s="23">
        <f t="shared" si="0"/>
        <v>12.4</v>
      </c>
      <c r="I25" s="15">
        <v>85</v>
      </c>
      <c r="J25" s="35" t="s">
        <v>410</v>
      </c>
      <c r="K25" s="35"/>
      <c r="L25" s="35"/>
      <c r="M25" s="35"/>
      <c r="N25" s="35"/>
      <c r="O25" s="17" t="str">
        <f>_xlfn.DISPIMG("ID_42144FEB54594847A617F6CEF997C8DD",1)</f>
        <v>=DISPIMG("ID_42144FEB54594847A617F6CEF997C8DD",1)</v>
      </c>
      <c r="P25" s="35"/>
    </row>
    <row r="26" s="33" customFormat="1" ht="30" customHeight="1" spans="1:16">
      <c r="A26" s="23">
        <v>23</v>
      </c>
      <c r="B26" s="35">
        <v>21012127</v>
      </c>
      <c r="C26" s="35" t="s">
        <v>92</v>
      </c>
      <c r="D26" s="23">
        <v>60</v>
      </c>
      <c r="E26" s="23">
        <v>2</v>
      </c>
      <c r="F26" s="23">
        <v>0</v>
      </c>
      <c r="G26" s="23">
        <v>62</v>
      </c>
      <c r="H26" s="23">
        <f t="shared" si="0"/>
        <v>12.4</v>
      </c>
      <c r="I26" s="15">
        <v>85</v>
      </c>
      <c r="J26" s="35" t="s">
        <v>411</v>
      </c>
      <c r="K26" s="35"/>
      <c r="L26" s="35"/>
      <c r="M26" s="35"/>
      <c r="N26" s="35"/>
      <c r="O26" s="17" t="str">
        <f>_xlfn.DISPIMG("ID_BA61EB51BBFE4035B680B7197EFE732F",1)</f>
        <v>=DISPIMG("ID_BA61EB51BBFE4035B680B7197EFE732F",1)</v>
      </c>
      <c r="P26" s="35"/>
    </row>
    <row r="27" s="33" customFormat="1" ht="30" customHeight="1" spans="1:16">
      <c r="A27" s="23">
        <v>24</v>
      </c>
      <c r="B27" s="35">
        <v>21012064</v>
      </c>
      <c r="C27" s="35" t="s">
        <v>70</v>
      </c>
      <c r="D27" s="23">
        <v>60</v>
      </c>
      <c r="E27" s="23">
        <v>7.5</v>
      </c>
      <c r="F27" s="23">
        <v>0</v>
      </c>
      <c r="G27" s="23">
        <v>67.5</v>
      </c>
      <c r="H27" s="23">
        <f t="shared" si="0"/>
        <v>13.5</v>
      </c>
      <c r="I27" s="15">
        <v>29</v>
      </c>
      <c r="J27" s="44" t="s">
        <v>412</v>
      </c>
      <c r="K27" s="44"/>
      <c r="L27" s="44"/>
      <c r="M27" s="44"/>
      <c r="N27" s="44"/>
      <c r="O27" s="3" t="str">
        <f>_xlfn.DISPIMG("ID_951F67A02B174399BD38EFD4516794BC",1)</f>
        <v>=DISPIMG("ID_951F67A02B174399BD38EFD4516794BC",1)</v>
      </c>
      <c r="P27" s="35"/>
    </row>
    <row r="28" s="33" customFormat="1" ht="30" customHeight="1" spans="1:16">
      <c r="A28" s="23">
        <v>25</v>
      </c>
      <c r="B28" s="35">
        <v>21012044</v>
      </c>
      <c r="C28" s="35" t="s">
        <v>96</v>
      </c>
      <c r="D28" s="23">
        <v>60</v>
      </c>
      <c r="E28" s="37">
        <v>9.5</v>
      </c>
      <c r="F28" s="37">
        <v>0</v>
      </c>
      <c r="G28" s="37">
        <v>69.5</v>
      </c>
      <c r="H28" s="23">
        <f t="shared" si="0"/>
        <v>13.9</v>
      </c>
      <c r="I28" s="15">
        <v>23</v>
      </c>
      <c r="J28" s="45" t="s">
        <v>413</v>
      </c>
      <c r="K28" s="45"/>
      <c r="L28" s="45"/>
      <c r="M28" s="45"/>
      <c r="N28" s="45"/>
      <c r="O28" s="3" t="str">
        <f>_xlfn.DISPIMG("ID_769524B6DABE4FE3A0282D1FD4132F44",1)</f>
        <v>=DISPIMG("ID_769524B6DABE4FE3A0282D1FD4132F44",1)</v>
      </c>
      <c r="P28" s="35"/>
    </row>
    <row r="29" s="33" customFormat="1" ht="30" customHeight="1" spans="1:16">
      <c r="A29" s="23">
        <v>26</v>
      </c>
      <c r="B29" s="35">
        <v>21012043</v>
      </c>
      <c r="C29" s="35" t="s">
        <v>68</v>
      </c>
      <c r="D29" s="23">
        <v>60</v>
      </c>
      <c r="E29" s="23">
        <v>7</v>
      </c>
      <c r="F29" s="23">
        <v>0</v>
      </c>
      <c r="G29" s="23">
        <v>67</v>
      </c>
      <c r="H29" s="23">
        <f t="shared" si="0"/>
        <v>13.4</v>
      </c>
      <c r="I29" s="15">
        <v>32</v>
      </c>
      <c r="J29" s="44" t="s">
        <v>414</v>
      </c>
      <c r="K29" s="44"/>
      <c r="L29" s="44"/>
      <c r="M29" s="44"/>
      <c r="N29" s="44"/>
      <c r="O29" s="17" t="str">
        <f>_xlfn.DISPIMG("ID_B6E45280C125487B8175108FCF9CCE47",1)</f>
        <v>=DISPIMG("ID_B6E45280C125487B8175108FCF9CCE47",1)</v>
      </c>
      <c r="P29" s="35"/>
    </row>
    <row r="30" s="33" customFormat="1" ht="30" customHeight="1" spans="1:16">
      <c r="A30" s="23">
        <v>27</v>
      </c>
      <c r="B30" s="35">
        <v>21012011</v>
      </c>
      <c r="C30" s="35" t="s">
        <v>147</v>
      </c>
      <c r="D30" s="23">
        <v>60</v>
      </c>
      <c r="E30" s="23">
        <v>2</v>
      </c>
      <c r="F30" s="23">
        <v>0</v>
      </c>
      <c r="G30" s="23">
        <v>62</v>
      </c>
      <c r="H30" s="23">
        <f t="shared" si="0"/>
        <v>12.4</v>
      </c>
      <c r="I30" s="15">
        <v>85</v>
      </c>
      <c r="J30" s="35" t="s">
        <v>407</v>
      </c>
      <c r="K30" s="35"/>
      <c r="L30" s="35"/>
      <c r="M30" s="35"/>
      <c r="N30" s="35"/>
      <c r="O30" s="17" t="str">
        <f>_xlfn.DISPIMG("ID_AB5F1EF44D434A53AF212CD00EDFCA9B",1)</f>
        <v>=DISPIMG("ID_AB5F1EF44D434A53AF212CD00EDFCA9B",1)</v>
      </c>
      <c r="P30" s="35"/>
    </row>
    <row r="31" s="33" customFormat="1" ht="30" customHeight="1" spans="1:16">
      <c r="A31" s="23">
        <v>28</v>
      </c>
      <c r="B31" s="35">
        <v>21012022</v>
      </c>
      <c r="C31" s="35" t="s">
        <v>121</v>
      </c>
      <c r="D31" s="23">
        <v>60</v>
      </c>
      <c r="E31" s="23">
        <v>2</v>
      </c>
      <c r="F31" s="23">
        <v>0</v>
      </c>
      <c r="G31" s="23">
        <v>62</v>
      </c>
      <c r="H31" s="23">
        <f t="shared" si="0"/>
        <v>12.4</v>
      </c>
      <c r="I31" s="15">
        <v>85</v>
      </c>
      <c r="J31" s="35" t="s">
        <v>402</v>
      </c>
      <c r="K31" s="35"/>
      <c r="L31" s="35"/>
      <c r="M31" s="35"/>
      <c r="N31" s="35"/>
      <c r="O31" s="17" t="str">
        <f>_xlfn.DISPIMG("ID_0CFE9FC8DA1E4AB8A6762270EF8A4E82",1)</f>
        <v>=DISPIMG("ID_0CFE9FC8DA1E4AB8A6762270EF8A4E82",1)</v>
      </c>
      <c r="P31" s="46"/>
    </row>
    <row r="32" s="33" customFormat="1" ht="30" customHeight="1" spans="1:16">
      <c r="A32" s="23">
        <v>29</v>
      </c>
      <c r="B32" s="35">
        <v>21012147</v>
      </c>
      <c r="C32" s="35" t="s">
        <v>322</v>
      </c>
      <c r="D32" s="23">
        <v>60</v>
      </c>
      <c r="E32" s="23">
        <v>2</v>
      </c>
      <c r="F32" s="23">
        <v>2</v>
      </c>
      <c r="G32" s="23">
        <v>62</v>
      </c>
      <c r="H32" s="23">
        <f t="shared" si="0"/>
        <v>12.4</v>
      </c>
      <c r="I32" s="15">
        <v>85</v>
      </c>
      <c r="J32" s="35" t="s">
        <v>415</v>
      </c>
      <c r="K32" s="35"/>
      <c r="L32" s="35"/>
      <c r="M32" s="35"/>
      <c r="N32" s="35"/>
      <c r="O32" s="17" t="str">
        <f>_xlfn.DISPIMG("ID_4E2DC036D9044AFCBCB953D14A90AA37",1)</f>
        <v>=DISPIMG("ID_4E2DC036D9044AFCBCB953D14A90AA37",1)</v>
      </c>
      <c r="P32" s="46"/>
    </row>
    <row r="33" s="33" customFormat="1" ht="30" customHeight="1" spans="1:16">
      <c r="A33" s="23">
        <v>30</v>
      </c>
      <c r="B33" s="35">
        <v>21012114</v>
      </c>
      <c r="C33" s="35" t="s">
        <v>223</v>
      </c>
      <c r="D33" s="23">
        <v>60</v>
      </c>
      <c r="E33" s="23">
        <v>2</v>
      </c>
      <c r="F33" s="23">
        <v>0</v>
      </c>
      <c r="G33" s="23">
        <v>62</v>
      </c>
      <c r="H33" s="23">
        <f t="shared" si="0"/>
        <v>12.4</v>
      </c>
      <c r="I33" s="15">
        <v>85</v>
      </c>
      <c r="J33" s="35" t="s">
        <v>402</v>
      </c>
      <c r="K33" s="35"/>
      <c r="L33" s="35"/>
      <c r="M33" s="35"/>
      <c r="N33" s="35"/>
      <c r="O33" s="17" t="str">
        <f>_xlfn.DISPIMG("ID_8EF37FF9D508494CA9352F36F92A123C",1)</f>
        <v>=DISPIMG("ID_8EF37FF9D508494CA9352F36F92A123C",1)</v>
      </c>
      <c r="P33" s="46"/>
    </row>
    <row r="34" s="33" customFormat="1" ht="30" customHeight="1" spans="1:16">
      <c r="A34" s="23">
        <v>31</v>
      </c>
      <c r="B34" s="35">
        <v>21012159</v>
      </c>
      <c r="C34" s="35" t="s">
        <v>165</v>
      </c>
      <c r="D34" s="23">
        <v>60</v>
      </c>
      <c r="E34" s="23">
        <v>2.5</v>
      </c>
      <c r="F34" s="23">
        <v>0</v>
      </c>
      <c r="G34" s="23">
        <v>62</v>
      </c>
      <c r="H34" s="23">
        <f t="shared" si="0"/>
        <v>12.4</v>
      </c>
      <c r="I34" s="15">
        <v>85</v>
      </c>
      <c r="J34" s="44" t="s">
        <v>416</v>
      </c>
      <c r="K34" s="44"/>
      <c r="L34" s="44"/>
      <c r="M34" s="44"/>
      <c r="N34" s="44"/>
      <c r="O34" s="17" t="str">
        <f>_xlfn.DISPIMG("ID_5DC7A3FC9B64436E96D912B12BD95C99",1)</f>
        <v>=DISPIMG("ID_5DC7A3FC9B64436E96D912B12BD95C99",1)</v>
      </c>
      <c r="P34" s="46"/>
    </row>
    <row r="35" s="33" customFormat="1" ht="30" customHeight="1" spans="1:16">
      <c r="A35" s="23">
        <v>32</v>
      </c>
      <c r="B35" s="35">
        <v>21012032</v>
      </c>
      <c r="C35" s="35" t="s">
        <v>252</v>
      </c>
      <c r="D35" s="23">
        <v>60</v>
      </c>
      <c r="E35" s="23">
        <v>4</v>
      </c>
      <c r="F35" s="23">
        <v>0</v>
      </c>
      <c r="G35" s="23">
        <v>64</v>
      </c>
      <c r="H35" s="23">
        <f t="shared" si="0"/>
        <v>12.8</v>
      </c>
      <c r="I35" s="15">
        <v>48</v>
      </c>
      <c r="J35" s="35" t="s">
        <v>417</v>
      </c>
      <c r="K35" s="35"/>
      <c r="L35" s="35"/>
      <c r="M35" s="35"/>
      <c r="N35" s="35"/>
      <c r="O35" s="17" t="str">
        <f>_xlfn.DISPIMG("ID_C63C45AC8545441FA9AA27465EE8F066",1)</f>
        <v>=DISPIMG("ID_C63C45AC8545441FA9AA27465EE8F066",1)</v>
      </c>
      <c r="P35" s="46"/>
    </row>
    <row r="36" s="33" customFormat="1" ht="30" customHeight="1" spans="1:16">
      <c r="A36" s="23">
        <v>33</v>
      </c>
      <c r="B36" s="35">
        <v>21012023</v>
      </c>
      <c r="C36" s="35" t="s">
        <v>275</v>
      </c>
      <c r="D36" s="23">
        <v>60</v>
      </c>
      <c r="E36" s="23">
        <v>2</v>
      </c>
      <c r="F36" s="23">
        <v>0</v>
      </c>
      <c r="G36" s="23">
        <v>62</v>
      </c>
      <c r="H36" s="23">
        <f t="shared" si="0"/>
        <v>12.4</v>
      </c>
      <c r="I36" s="15">
        <v>85</v>
      </c>
      <c r="J36" s="35" t="s">
        <v>407</v>
      </c>
      <c r="K36" s="35"/>
      <c r="L36" s="35"/>
      <c r="M36" s="35"/>
      <c r="N36" s="35"/>
      <c r="O36" s="17" t="str">
        <f>_xlfn.DISPIMG("ID_215FB429F97C468D85633AA4B3028691",1)</f>
        <v>=DISPIMG("ID_215FB429F97C468D85633AA4B3028691",1)</v>
      </c>
      <c r="P36" s="46"/>
    </row>
    <row r="37" s="33" customFormat="1" ht="30" customHeight="1" spans="1:16">
      <c r="A37" s="23">
        <v>34</v>
      </c>
      <c r="B37" s="35">
        <v>21012089</v>
      </c>
      <c r="C37" s="35" t="s">
        <v>151</v>
      </c>
      <c r="D37" s="23">
        <v>60</v>
      </c>
      <c r="E37" s="23">
        <v>14</v>
      </c>
      <c r="F37" s="23">
        <v>0</v>
      </c>
      <c r="G37" s="23">
        <v>74</v>
      </c>
      <c r="H37" s="23">
        <f t="shared" ref="H37:H68" si="1">G37*0.2</f>
        <v>14.8</v>
      </c>
      <c r="I37" s="15">
        <v>13</v>
      </c>
      <c r="J37" s="44" t="s">
        <v>418</v>
      </c>
      <c r="K37" s="44"/>
      <c r="L37" s="44"/>
      <c r="M37" s="44"/>
      <c r="N37" s="44"/>
      <c r="O37" s="17" t="str">
        <f>_xlfn.DISPIMG("ID_FDBA2CA1BF05400796482783B541BCE4",1)</f>
        <v>=DISPIMG("ID_FDBA2CA1BF05400796482783B541BCE4",1)</v>
      </c>
      <c r="P37" s="46"/>
    </row>
    <row r="38" s="33" customFormat="1" ht="30" customHeight="1" spans="1:16">
      <c r="A38" s="23">
        <v>35</v>
      </c>
      <c r="B38" s="38">
        <v>21012002</v>
      </c>
      <c r="C38" s="39" t="s">
        <v>255</v>
      </c>
      <c r="D38" s="23">
        <v>60</v>
      </c>
      <c r="E38" s="23">
        <v>0</v>
      </c>
      <c r="F38" s="23">
        <v>0</v>
      </c>
      <c r="G38" s="23">
        <v>60</v>
      </c>
      <c r="H38" s="23">
        <f t="shared" si="1"/>
        <v>12</v>
      </c>
      <c r="I38" s="15">
        <v>124</v>
      </c>
      <c r="J38" s="35"/>
      <c r="K38" s="35"/>
      <c r="L38" s="35"/>
      <c r="M38" s="35"/>
      <c r="N38" s="35"/>
      <c r="O38" s="21" t="str">
        <f>_xlfn.DISPIMG("ID_7F19F2AAF1BE4D6F90B042FF901E566C",1)</f>
        <v>=DISPIMG("ID_7F19F2AAF1BE4D6F90B042FF901E566C",1)</v>
      </c>
      <c r="P38" s="46"/>
    </row>
    <row r="39" s="33" customFormat="1" ht="30" customHeight="1" spans="1:16">
      <c r="A39" s="23">
        <v>36</v>
      </c>
      <c r="B39" s="38">
        <v>21012010</v>
      </c>
      <c r="C39" s="39" t="s">
        <v>281</v>
      </c>
      <c r="D39" s="23">
        <v>60</v>
      </c>
      <c r="E39" s="23">
        <v>0</v>
      </c>
      <c r="F39" s="23">
        <v>0</v>
      </c>
      <c r="G39" s="23">
        <v>60</v>
      </c>
      <c r="H39" s="23">
        <f t="shared" si="1"/>
        <v>12</v>
      </c>
      <c r="I39" s="15">
        <v>124</v>
      </c>
      <c r="J39" s="35"/>
      <c r="K39" s="35"/>
      <c r="L39" s="35"/>
      <c r="M39" s="35"/>
      <c r="N39" s="35"/>
      <c r="O39" s="21" t="str">
        <f>_xlfn.DISPIMG("ID_1806B7082D8147BE84DFEB0CB134926D",1)</f>
        <v>=DISPIMG("ID_1806B7082D8147BE84DFEB0CB134926D",1)</v>
      </c>
      <c r="P39" s="46"/>
    </row>
    <row r="40" s="33" customFormat="1" ht="30" customHeight="1" spans="1:16">
      <c r="A40" s="23">
        <v>37</v>
      </c>
      <c r="B40" s="38">
        <v>2012013</v>
      </c>
      <c r="C40" s="39" t="s">
        <v>101</v>
      </c>
      <c r="D40" s="23">
        <v>60</v>
      </c>
      <c r="E40" s="23">
        <v>1</v>
      </c>
      <c r="F40" s="23">
        <v>0</v>
      </c>
      <c r="G40" s="23">
        <v>61</v>
      </c>
      <c r="H40" s="23">
        <f t="shared" si="1"/>
        <v>12.2</v>
      </c>
      <c r="I40" s="15">
        <v>114</v>
      </c>
      <c r="J40" s="44" t="s">
        <v>419</v>
      </c>
      <c r="K40" s="44"/>
      <c r="L40" s="44"/>
      <c r="M40" s="44"/>
      <c r="N40" s="44"/>
      <c r="O40" s="21" t="str">
        <f>_xlfn.DISPIMG("ID_3D585C203D2E42619105D844EDBA6E41",1)</f>
        <v>=DISPIMG("ID_3D585C203D2E42619105D844EDBA6E41",1)</v>
      </c>
      <c r="P40" s="46"/>
    </row>
    <row r="41" s="33" customFormat="1" ht="30" customHeight="1" spans="1:16">
      <c r="A41" s="23">
        <v>38</v>
      </c>
      <c r="B41" s="40">
        <v>21012020</v>
      </c>
      <c r="C41" s="39" t="s">
        <v>302</v>
      </c>
      <c r="D41" s="23">
        <v>60</v>
      </c>
      <c r="E41" s="23">
        <v>4</v>
      </c>
      <c r="F41" s="23">
        <v>0</v>
      </c>
      <c r="G41" s="23">
        <v>64</v>
      </c>
      <c r="H41" s="23">
        <f t="shared" si="1"/>
        <v>12.8</v>
      </c>
      <c r="I41" s="15">
        <v>48</v>
      </c>
      <c r="J41" s="35" t="s">
        <v>420</v>
      </c>
      <c r="K41" s="35"/>
      <c r="L41" s="35"/>
      <c r="M41" s="35"/>
      <c r="N41" s="35"/>
      <c r="O41" s="21" t="str">
        <f>_xlfn.DISPIMG("ID_6235E1B08C9B41CCBE6C040F1FF5CD05",1)</f>
        <v>=DISPIMG("ID_6235E1B08C9B41CCBE6C040F1FF5CD05",1)</v>
      </c>
      <c r="P41" s="46"/>
    </row>
    <row r="42" s="33" customFormat="1" ht="30" customHeight="1" spans="1:16">
      <c r="A42" s="23">
        <v>39</v>
      </c>
      <c r="B42" s="40">
        <v>21012021</v>
      </c>
      <c r="C42" s="39" t="s">
        <v>209</v>
      </c>
      <c r="D42" s="23">
        <v>60</v>
      </c>
      <c r="E42" s="23">
        <v>0</v>
      </c>
      <c r="F42" s="23">
        <v>0</v>
      </c>
      <c r="G42" s="23">
        <v>60</v>
      </c>
      <c r="H42" s="23">
        <f t="shared" si="1"/>
        <v>12</v>
      </c>
      <c r="I42" s="15">
        <v>124</v>
      </c>
      <c r="J42" s="35" t="s">
        <v>20</v>
      </c>
      <c r="K42" s="35"/>
      <c r="L42" s="35"/>
      <c r="M42" s="35"/>
      <c r="N42" s="35"/>
      <c r="O42" s="21" t="str">
        <f>_xlfn.DISPIMG("ID_2135E4B25E50455AB1C5B7E260938F8E",1)</f>
        <v>=DISPIMG("ID_2135E4B25E50455AB1C5B7E260938F8E",1)</v>
      </c>
      <c r="P42" s="46"/>
    </row>
    <row r="43" s="33" customFormat="1" ht="30" customHeight="1" spans="1:16">
      <c r="A43" s="23">
        <v>40</v>
      </c>
      <c r="B43" s="40">
        <v>21012024</v>
      </c>
      <c r="C43" s="39" t="s">
        <v>265</v>
      </c>
      <c r="D43" s="23">
        <v>60</v>
      </c>
      <c r="E43" s="23">
        <v>2</v>
      </c>
      <c r="F43" s="23">
        <v>0</v>
      </c>
      <c r="G43" s="23">
        <v>62</v>
      </c>
      <c r="H43" s="23">
        <f t="shared" si="1"/>
        <v>12.4</v>
      </c>
      <c r="I43" s="15">
        <v>85</v>
      </c>
      <c r="J43" s="35" t="s">
        <v>421</v>
      </c>
      <c r="K43" s="35"/>
      <c r="L43" s="35"/>
      <c r="M43" s="35"/>
      <c r="N43" s="35"/>
      <c r="O43" s="21" t="str">
        <f>_xlfn.DISPIMG("ID_C1B3B97AE1F94027BDF4A7D5B9765F9D",1)</f>
        <v>=DISPIMG("ID_C1B3B97AE1F94027BDF4A7D5B9765F9D",1)</v>
      </c>
      <c r="P43" s="46"/>
    </row>
    <row r="44" s="33" customFormat="1" ht="30" customHeight="1" spans="1:16">
      <c r="A44" s="23">
        <v>41</v>
      </c>
      <c r="B44" s="40">
        <v>21012031</v>
      </c>
      <c r="C44" s="39" t="s">
        <v>135</v>
      </c>
      <c r="D44" s="23">
        <v>60</v>
      </c>
      <c r="E44" s="23">
        <v>0.5</v>
      </c>
      <c r="F44" s="23">
        <v>0</v>
      </c>
      <c r="G44" s="23">
        <v>60.5</v>
      </c>
      <c r="H44" s="23">
        <f t="shared" si="1"/>
        <v>12.1</v>
      </c>
      <c r="I44" s="15">
        <v>115</v>
      </c>
      <c r="J44" s="35" t="s">
        <v>422</v>
      </c>
      <c r="K44" s="35"/>
      <c r="L44" s="35"/>
      <c r="M44" s="35"/>
      <c r="N44" s="35"/>
      <c r="O44" s="21" t="str">
        <f>_xlfn.DISPIMG("ID_EAC40774C7724601807912C3943B060B",1)</f>
        <v>=DISPIMG("ID_EAC40774C7724601807912C3943B060B",1)</v>
      </c>
      <c r="P44" s="46"/>
    </row>
    <row r="45" s="33" customFormat="1" ht="30" customHeight="1" spans="1:16">
      <c r="A45" s="23">
        <v>42</v>
      </c>
      <c r="B45" s="40">
        <v>21012035</v>
      </c>
      <c r="C45" s="39" t="s">
        <v>44</v>
      </c>
      <c r="D45" s="23">
        <v>60</v>
      </c>
      <c r="E45" s="23">
        <v>7.5</v>
      </c>
      <c r="F45" s="23">
        <v>0</v>
      </c>
      <c r="G45" s="23">
        <v>67.5</v>
      </c>
      <c r="H45" s="23">
        <f t="shared" si="1"/>
        <v>13.5</v>
      </c>
      <c r="I45" s="15">
        <v>29</v>
      </c>
      <c r="J45" s="44" t="s">
        <v>423</v>
      </c>
      <c r="K45" s="44"/>
      <c r="L45" s="44"/>
      <c r="M45" s="44"/>
      <c r="N45" s="44"/>
      <c r="O45" s="21" t="str">
        <f>_xlfn.DISPIMG("ID_3D21938855124DF68B188B390CAAF63A",1)</f>
        <v>=DISPIMG("ID_3D21938855124DF68B188B390CAAF63A",1)</v>
      </c>
      <c r="P45" s="46"/>
    </row>
    <row r="46" s="33" customFormat="1" ht="30" customHeight="1" spans="1:16">
      <c r="A46" s="23">
        <v>43</v>
      </c>
      <c r="B46" s="40">
        <v>21012042</v>
      </c>
      <c r="C46" s="39" t="s">
        <v>171</v>
      </c>
      <c r="D46" s="23">
        <v>60</v>
      </c>
      <c r="E46" s="23">
        <v>4</v>
      </c>
      <c r="F46" s="23">
        <v>0</v>
      </c>
      <c r="G46" s="23">
        <v>64</v>
      </c>
      <c r="H46" s="23">
        <f t="shared" si="1"/>
        <v>12.8</v>
      </c>
      <c r="I46" s="15">
        <v>48</v>
      </c>
      <c r="J46" s="44" t="s">
        <v>424</v>
      </c>
      <c r="K46" s="44"/>
      <c r="L46" s="44"/>
      <c r="M46" s="44"/>
      <c r="N46" s="44"/>
      <c r="O46" s="21" t="str">
        <f>_xlfn.DISPIMG("ID_1580BC6383D94C0081879D8D4CABC2F0",1)</f>
        <v>=DISPIMG("ID_1580BC6383D94C0081879D8D4CABC2F0",1)</v>
      </c>
      <c r="P46" s="46"/>
    </row>
    <row r="47" s="33" customFormat="1" ht="30" customHeight="1" spans="1:16">
      <c r="A47" s="23">
        <v>44</v>
      </c>
      <c r="B47" s="40">
        <v>21012045</v>
      </c>
      <c r="C47" s="39" t="s">
        <v>155</v>
      </c>
      <c r="D47" s="23">
        <v>60</v>
      </c>
      <c r="E47" s="23">
        <v>0</v>
      </c>
      <c r="F47" s="23">
        <v>0</v>
      </c>
      <c r="G47" s="23">
        <v>60</v>
      </c>
      <c r="H47" s="23">
        <f t="shared" si="1"/>
        <v>12</v>
      </c>
      <c r="I47" s="15">
        <v>124</v>
      </c>
      <c r="J47" s="35" t="s">
        <v>20</v>
      </c>
      <c r="K47" s="35"/>
      <c r="L47" s="35"/>
      <c r="M47" s="35"/>
      <c r="N47" s="35"/>
      <c r="O47" s="21" t="str">
        <f>_xlfn.DISPIMG("ID_B3CF7EE694D94C5795B2197525027461",1)</f>
        <v>=DISPIMG("ID_B3CF7EE694D94C5795B2197525027461",1)</v>
      </c>
      <c r="P47" s="46"/>
    </row>
    <row r="48" s="33" customFormat="1" ht="30" customHeight="1" spans="1:16">
      <c r="A48" s="23">
        <v>45</v>
      </c>
      <c r="B48" s="40">
        <v>21012052</v>
      </c>
      <c r="C48" s="39" t="s">
        <v>199</v>
      </c>
      <c r="D48" s="23">
        <v>60</v>
      </c>
      <c r="E48" s="23">
        <v>0</v>
      </c>
      <c r="F48" s="23">
        <v>0</v>
      </c>
      <c r="G48" s="23">
        <v>60</v>
      </c>
      <c r="H48" s="23">
        <f t="shared" si="1"/>
        <v>12</v>
      </c>
      <c r="I48" s="15">
        <v>124</v>
      </c>
      <c r="J48" s="35"/>
      <c r="K48" s="35"/>
      <c r="L48" s="35"/>
      <c r="M48" s="35"/>
      <c r="N48" s="35"/>
      <c r="O48" s="21" t="str">
        <f>_xlfn.DISPIMG("ID_9D35F126368540EF8B2DB3015D568D37",1)</f>
        <v>=DISPIMG("ID_9D35F126368540EF8B2DB3015D568D37",1)</v>
      </c>
      <c r="P48" s="46"/>
    </row>
    <row r="49" s="33" customFormat="1" ht="30" customHeight="1" spans="1:16">
      <c r="A49" s="23">
        <v>46</v>
      </c>
      <c r="B49" s="40">
        <v>21012056</v>
      </c>
      <c r="C49" s="39" t="s">
        <v>201</v>
      </c>
      <c r="D49" s="23">
        <v>60</v>
      </c>
      <c r="E49" s="23">
        <v>0.5</v>
      </c>
      <c r="F49" s="23">
        <v>0</v>
      </c>
      <c r="G49" s="23">
        <v>60.5</v>
      </c>
      <c r="H49" s="23">
        <f t="shared" si="1"/>
        <v>12.1</v>
      </c>
      <c r="I49" s="15">
        <v>115</v>
      </c>
      <c r="J49" s="35" t="s">
        <v>422</v>
      </c>
      <c r="K49" s="35"/>
      <c r="L49" s="35"/>
      <c r="M49" s="35"/>
      <c r="N49" s="35"/>
      <c r="O49" s="21" t="str">
        <f>_xlfn.DISPIMG("ID_C860772B2C5A4F9291A3896ABFB35EDF",1)</f>
        <v>=DISPIMG("ID_C860772B2C5A4F9291A3896ABFB35EDF",1)</v>
      </c>
      <c r="P49" s="46"/>
    </row>
    <row r="50" s="33" customFormat="1" ht="30" customHeight="1" spans="1:16">
      <c r="A50" s="23">
        <v>47</v>
      </c>
      <c r="B50" s="40">
        <v>21012063</v>
      </c>
      <c r="C50" s="39" t="s">
        <v>271</v>
      </c>
      <c r="D50" s="23">
        <v>60</v>
      </c>
      <c r="E50" s="23">
        <v>0</v>
      </c>
      <c r="F50" s="23">
        <v>0</v>
      </c>
      <c r="G50" s="23">
        <v>60</v>
      </c>
      <c r="H50" s="23">
        <f t="shared" si="1"/>
        <v>12</v>
      </c>
      <c r="I50" s="15">
        <v>124</v>
      </c>
      <c r="J50" s="35" t="s">
        <v>20</v>
      </c>
      <c r="K50" s="35"/>
      <c r="L50" s="35"/>
      <c r="M50" s="35"/>
      <c r="N50" s="35"/>
      <c r="O50" s="21" t="str">
        <f>_xlfn.DISPIMG("ID_1EB335992D8B4303B93B46744F3CB060",1)</f>
        <v>=DISPIMG("ID_1EB335992D8B4303B93B46744F3CB060",1)</v>
      </c>
      <c r="P50" s="46"/>
    </row>
    <row r="51" s="33" customFormat="1" ht="30" customHeight="1" spans="1:16">
      <c r="A51" s="23">
        <v>48</v>
      </c>
      <c r="B51" s="40">
        <v>21012066</v>
      </c>
      <c r="C51" s="39" t="s">
        <v>207</v>
      </c>
      <c r="D51" s="23">
        <v>60</v>
      </c>
      <c r="E51" s="23">
        <v>2</v>
      </c>
      <c r="F51" s="23">
        <v>0</v>
      </c>
      <c r="G51" s="23">
        <v>62</v>
      </c>
      <c r="H51" s="23">
        <f t="shared" si="1"/>
        <v>12.4</v>
      </c>
      <c r="I51" s="15">
        <v>85</v>
      </c>
      <c r="J51" s="35" t="s">
        <v>421</v>
      </c>
      <c r="K51" s="35"/>
      <c r="L51" s="35"/>
      <c r="M51" s="35"/>
      <c r="N51" s="35"/>
      <c r="O51" s="21" t="str">
        <f>_xlfn.DISPIMG("ID_93606653A0AA46768807EE2291AFD8F3",1)</f>
        <v>=DISPIMG("ID_93606653A0AA46768807EE2291AFD8F3",1)</v>
      </c>
      <c r="P51" s="46"/>
    </row>
    <row r="52" s="33" customFormat="1" ht="30" customHeight="1" spans="1:16">
      <c r="A52" s="23">
        <v>49</v>
      </c>
      <c r="B52" s="40">
        <v>21012076</v>
      </c>
      <c r="C52" s="39" t="s">
        <v>267</v>
      </c>
      <c r="D52" s="23">
        <v>60</v>
      </c>
      <c r="E52" s="23">
        <v>0</v>
      </c>
      <c r="F52" s="23">
        <v>0</v>
      </c>
      <c r="G52" s="23">
        <v>60</v>
      </c>
      <c r="H52" s="23">
        <f t="shared" si="1"/>
        <v>12</v>
      </c>
      <c r="I52" s="15">
        <v>124</v>
      </c>
      <c r="J52" s="35"/>
      <c r="K52" s="35"/>
      <c r="L52" s="35"/>
      <c r="M52" s="35"/>
      <c r="N52" s="35"/>
      <c r="O52" s="21" t="str">
        <f>_xlfn.DISPIMG("ID_B79446EAB54E4972BC45F86D067881D9",1)</f>
        <v>=DISPIMG("ID_B79446EAB54E4972BC45F86D067881D9",1)</v>
      </c>
      <c r="P52" s="46"/>
    </row>
    <row r="53" s="33" customFormat="1" ht="30" customHeight="1" spans="1:16">
      <c r="A53" s="23">
        <v>50</v>
      </c>
      <c r="B53" s="40">
        <v>21012080</v>
      </c>
      <c r="C53" s="39" t="s">
        <v>143</v>
      </c>
      <c r="D53" s="23">
        <v>60</v>
      </c>
      <c r="E53" s="23">
        <v>2</v>
      </c>
      <c r="F53" s="23">
        <v>0</v>
      </c>
      <c r="G53" s="23">
        <v>62</v>
      </c>
      <c r="H53" s="23">
        <f t="shared" si="1"/>
        <v>12.4</v>
      </c>
      <c r="I53" s="15">
        <v>85</v>
      </c>
      <c r="J53" s="35" t="s">
        <v>425</v>
      </c>
      <c r="K53" s="35"/>
      <c r="L53" s="35"/>
      <c r="M53" s="35"/>
      <c r="N53" s="35"/>
      <c r="O53" s="21" t="str">
        <f>_xlfn.DISPIMG("ID_7A88F9127E994F36B9D9AA2E5515B09D",1)</f>
        <v>=DISPIMG("ID_7A88F9127E994F36B9D9AA2E5515B09D",1)</v>
      </c>
      <c r="P53" s="46"/>
    </row>
    <row r="54" s="33" customFormat="1" ht="30" customHeight="1" spans="1:16">
      <c r="A54" s="23">
        <v>51</v>
      </c>
      <c r="B54" s="40">
        <v>21012087</v>
      </c>
      <c r="C54" s="39" t="s">
        <v>227</v>
      </c>
      <c r="D54" s="23">
        <v>60</v>
      </c>
      <c r="E54" s="23">
        <v>0</v>
      </c>
      <c r="F54" s="23">
        <v>0</v>
      </c>
      <c r="G54" s="23">
        <v>60</v>
      </c>
      <c r="H54" s="23">
        <f t="shared" si="1"/>
        <v>12</v>
      </c>
      <c r="I54" s="15">
        <v>124</v>
      </c>
      <c r="J54" s="44"/>
      <c r="K54" s="44"/>
      <c r="L54" s="44"/>
      <c r="M54" s="44"/>
      <c r="N54" s="44"/>
      <c r="O54" s="21" t="str">
        <f>_xlfn.DISPIMG("ID_290590C3B71744E29D9AD520DC49FFD2",1)</f>
        <v>=DISPIMG("ID_290590C3B71744E29D9AD520DC49FFD2",1)</v>
      </c>
      <c r="P54" s="46"/>
    </row>
    <row r="55" s="33" customFormat="1" ht="30" customHeight="1" spans="1:16">
      <c r="A55" s="23">
        <v>52</v>
      </c>
      <c r="B55" s="40">
        <v>21012090</v>
      </c>
      <c r="C55" s="39" t="s">
        <v>240</v>
      </c>
      <c r="D55" s="23">
        <v>60</v>
      </c>
      <c r="E55" s="23">
        <v>0</v>
      </c>
      <c r="F55" s="23">
        <v>0</v>
      </c>
      <c r="G55" s="23">
        <v>60</v>
      </c>
      <c r="H55" s="23">
        <f t="shared" si="1"/>
        <v>12</v>
      </c>
      <c r="I55" s="15">
        <v>124</v>
      </c>
      <c r="J55" s="35"/>
      <c r="K55" s="35"/>
      <c r="L55" s="35"/>
      <c r="M55" s="35"/>
      <c r="N55" s="35"/>
      <c r="O55" s="21" t="str">
        <f>_xlfn.DISPIMG("ID_6A4155D005934C27862207BA783DD1F8",1)</f>
        <v>=DISPIMG("ID_6A4155D005934C27862207BA783DD1F8",1)</v>
      </c>
      <c r="P55" s="46"/>
    </row>
    <row r="56" s="33" customFormat="1" ht="30" customHeight="1" spans="1:16">
      <c r="A56" s="23">
        <v>53</v>
      </c>
      <c r="B56" s="40">
        <v>21012091</v>
      </c>
      <c r="C56" s="39" t="s">
        <v>304</v>
      </c>
      <c r="D56" s="23">
        <v>60</v>
      </c>
      <c r="E56" s="23">
        <v>2</v>
      </c>
      <c r="F56" s="23">
        <v>0</v>
      </c>
      <c r="G56" s="23">
        <v>62</v>
      </c>
      <c r="H56" s="23">
        <f t="shared" si="1"/>
        <v>12.4</v>
      </c>
      <c r="I56" s="15">
        <v>85</v>
      </c>
      <c r="J56" s="35" t="s">
        <v>421</v>
      </c>
      <c r="K56" s="35"/>
      <c r="L56" s="35"/>
      <c r="M56" s="35"/>
      <c r="N56" s="35"/>
      <c r="O56" s="21" t="str">
        <f>_xlfn.DISPIMG("ID_DF018BD97BD1475887204332FB53106D",1)</f>
        <v>=DISPIMG("ID_DF018BD97BD1475887204332FB53106D",1)</v>
      </c>
      <c r="P56" s="46"/>
    </row>
    <row r="57" s="33" customFormat="1" ht="30" customHeight="1" spans="1:16">
      <c r="A57" s="23">
        <v>54</v>
      </c>
      <c r="B57" s="40">
        <v>21012100</v>
      </c>
      <c r="C57" s="39" t="s">
        <v>229</v>
      </c>
      <c r="D57" s="23">
        <v>60</v>
      </c>
      <c r="E57" s="23">
        <v>0</v>
      </c>
      <c r="F57" s="23">
        <v>0</v>
      </c>
      <c r="G57" s="23">
        <v>60</v>
      </c>
      <c r="H57" s="23">
        <f t="shared" si="1"/>
        <v>12</v>
      </c>
      <c r="I57" s="15">
        <v>124</v>
      </c>
      <c r="J57" s="35"/>
      <c r="K57" s="35"/>
      <c r="L57" s="35"/>
      <c r="M57" s="35"/>
      <c r="N57" s="35"/>
      <c r="O57" s="21" t="str">
        <f>_xlfn.DISPIMG("ID_359250A318A549C3A1A77287121972DB",1)</f>
        <v>=DISPIMG("ID_359250A318A549C3A1A77287121972DB",1)</v>
      </c>
      <c r="P57" s="46"/>
    </row>
    <row r="58" s="33" customFormat="1" ht="30" customHeight="1" spans="1:16">
      <c r="A58" s="23">
        <v>55</v>
      </c>
      <c r="B58" s="40">
        <v>21012103</v>
      </c>
      <c r="C58" s="39" t="s">
        <v>310</v>
      </c>
      <c r="D58" s="23">
        <v>60</v>
      </c>
      <c r="E58" s="23">
        <v>0</v>
      </c>
      <c r="F58" s="23">
        <v>0</v>
      </c>
      <c r="G58" s="23">
        <v>60</v>
      </c>
      <c r="H58" s="23">
        <f t="shared" si="1"/>
        <v>12</v>
      </c>
      <c r="I58" s="15">
        <v>124</v>
      </c>
      <c r="J58" s="35"/>
      <c r="K58" s="35"/>
      <c r="L58" s="35"/>
      <c r="M58" s="35"/>
      <c r="N58" s="35"/>
      <c r="O58" s="21" t="str">
        <f>_xlfn.DISPIMG("ID_AD5470C52AA14091948990355A69593B",1)</f>
        <v>=DISPIMG("ID_AD5470C52AA14091948990355A69593B",1)</v>
      </c>
      <c r="P58" s="46"/>
    </row>
    <row r="59" s="33" customFormat="1" ht="30" customHeight="1" spans="1:16">
      <c r="A59" s="23">
        <v>56</v>
      </c>
      <c r="B59" s="40">
        <v>21012110</v>
      </c>
      <c r="C59" s="39" t="s">
        <v>279</v>
      </c>
      <c r="D59" s="23">
        <v>60</v>
      </c>
      <c r="E59" s="23">
        <v>0</v>
      </c>
      <c r="F59" s="23">
        <v>0</v>
      </c>
      <c r="G59" s="23">
        <v>60</v>
      </c>
      <c r="H59" s="23">
        <f t="shared" si="1"/>
        <v>12</v>
      </c>
      <c r="I59" s="15">
        <v>124</v>
      </c>
      <c r="J59" s="35"/>
      <c r="K59" s="35"/>
      <c r="L59" s="35"/>
      <c r="M59" s="35"/>
      <c r="N59" s="35"/>
      <c r="O59" s="21" t="str">
        <f>_xlfn.DISPIMG("ID_E99B2987E4144CD8B632ECF912544A08",1)</f>
        <v>=DISPIMG("ID_E99B2987E4144CD8B632ECF912544A08",1)</v>
      </c>
      <c r="P59" s="46"/>
    </row>
    <row r="60" s="33" customFormat="1" ht="30" customHeight="1" spans="1:16">
      <c r="A60" s="23">
        <v>57</v>
      </c>
      <c r="B60" s="40">
        <v>21012111</v>
      </c>
      <c r="C60" s="39" t="s">
        <v>48</v>
      </c>
      <c r="D60" s="23">
        <v>60</v>
      </c>
      <c r="E60" s="23">
        <v>18.5</v>
      </c>
      <c r="F60" s="23">
        <v>0</v>
      </c>
      <c r="G60" s="23">
        <v>78.5</v>
      </c>
      <c r="H60" s="23">
        <f t="shared" si="1"/>
        <v>15.7</v>
      </c>
      <c r="I60" s="15">
        <v>9</v>
      </c>
      <c r="J60" s="44" t="s">
        <v>426</v>
      </c>
      <c r="K60" s="44"/>
      <c r="L60" s="44"/>
      <c r="M60" s="44"/>
      <c r="N60" s="44"/>
      <c r="O60" s="21" t="str">
        <f>_xlfn.DISPIMG("ID_6EAE095C84C444328C98807FBA53734F",1)</f>
        <v>=DISPIMG("ID_6EAE095C84C444328C98807FBA53734F",1)</v>
      </c>
      <c r="P60" s="46"/>
    </row>
    <row r="61" s="33" customFormat="1" ht="30" customHeight="1" spans="1:16">
      <c r="A61" s="23">
        <v>58</v>
      </c>
      <c r="B61" s="40">
        <v>21012116</v>
      </c>
      <c r="C61" s="39" t="s">
        <v>320</v>
      </c>
      <c r="D61" s="23">
        <v>60</v>
      </c>
      <c r="E61" s="23">
        <v>6</v>
      </c>
      <c r="F61" s="23">
        <v>0</v>
      </c>
      <c r="G61" s="23">
        <v>66</v>
      </c>
      <c r="H61" s="23">
        <f t="shared" si="1"/>
        <v>13.2</v>
      </c>
      <c r="I61" s="15">
        <v>36</v>
      </c>
      <c r="J61" s="44" t="s">
        <v>427</v>
      </c>
      <c r="K61" s="44"/>
      <c r="L61" s="44"/>
      <c r="M61" s="44"/>
      <c r="N61" s="44"/>
      <c r="O61" s="21" t="str">
        <f>_xlfn.DISPIMG("ID_9790C799FAB54665B999302CE258017E",1)</f>
        <v>=DISPIMG("ID_9790C799FAB54665B999302CE258017E",1)</v>
      </c>
      <c r="P61" s="46"/>
    </row>
    <row r="62" s="33" customFormat="1" ht="30" customHeight="1" spans="1:16">
      <c r="A62" s="23">
        <v>59</v>
      </c>
      <c r="B62" s="40">
        <v>21012126</v>
      </c>
      <c r="C62" s="39" t="s">
        <v>242</v>
      </c>
      <c r="D62" s="23">
        <v>60</v>
      </c>
      <c r="E62" s="23">
        <v>2</v>
      </c>
      <c r="F62" s="23">
        <v>0</v>
      </c>
      <c r="G62" s="23">
        <v>62</v>
      </c>
      <c r="H62" s="23">
        <f t="shared" si="1"/>
        <v>12.4</v>
      </c>
      <c r="I62" s="15">
        <v>85</v>
      </c>
      <c r="J62" s="35" t="s">
        <v>428</v>
      </c>
      <c r="K62" s="35"/>
      <c r="L62" s="35"/>
      <c r="M62" s="35"/>
      <c r="N62" s="35"/>
      <c r="O62" s="21" t="str">
        <f>_xlfn.DISPIMG("ID_B05D86026617406FA45D9E2B2F7EB484",1)</f>
        <v>=DISPIMG("ID_B05D86026617406FA45D9E2B2F7EB484",1)</v>
      </c>
      <c r="P62" s="46"/>
    </row>
    <row r="63" s="33" customFormat="1" ht="30" customHeight="1" spans="1:16">
      <c r="A63" s="23">
        <v>60</v>
      </c>
      <c r="B63" s="40">
        <v>21012129</v>
      </c>
      <c r="C63" s="35" t="s">
        <v>94</v>
      </c>
      <c r="D63" s="23">
        <v>60</v>
      </c>
      <c r="E63" s="23">
        <v>7</v>
      </c>
      <c r="F63" s="23">
        <v>0</v>
      </c>
      <c r="G63" s="23">
        <v>67</v>
      </c>
      <c r="H63" s="23">
        <f t="shared" si="1"/>
        <v>13.4</v>
      </c>
      <c r="I63" s="15">
        <v>32</v>
      </c>
      <c r="J63" s="44" t="s">
        <v>429</v>
      </c>
      <c r="K63" s="44"/>
      <c r="L63" s="44"/>
      <c r="M63" s="44"/>
      <c r="N63" s="44"/>
      <c r="O63" s="21" t="str">
        <f>_xlfn.DISPIMG("ID_24E86B72711F443F8A702455CDBC2348",1)</f>
        <v>=DISPIMG("ID_24E86B72711F443F8A702455CDBC2348",1)</v>
      </c>
      <c r="P63" s="46"/>
    </row>
    <row r="64" s="33" customFormat="1" ht="30" customHeight="1" spans="1:16">
      <c r="A64" s="23">
        <v>61</v>
      </c>
      <c r="B64" s="40">
        <v>21012132</v>
      </c>
      <c r="C64" s="39" t="s">
        <v>42</v>
      </c>
      <c r="D64" s="23">
        <v>60</v>
      </c>
      <c r="E64" s="23">
        <v>13</v>
      </c>
      <c r="F64" s="23">
        <v>0</v>
      </c>
      <c r="G64" s="23">
        <v>73</v>
      </c>
      <c r="H64" s="23">
        <f t="shared" si="1"/>
        <v>14.6</v>
      </c>
      <c r="I64" s="15">
        <v>15</v>
      </c>
      <c r="J64" s="44" t="s">
        <v>430</v>
      </c>
      <c r="K64" s="44"/>
      <c r="L64" s="44"/>
      <c r="M64" s="44"/>
      <c r="N64" s="44"/>
      <c r="O64" s="21" t="str">
        <f>_xlfn.DISPIMG("ID_E92652EE3D6E459DAA6A9B6B1CF7F60E",1)</f>
        <v>=DISPIMG("ID_E92652EE3D6E459DAA6A9B6B1CF7F60E",1)</v>
      </c>
      <c r="P64" s="46"/>
    </row>
    <row r="65" s="33" customFormat="1" ht="30" customHeight="1" spans="1:16">
      <c r="A65" s="23">
        <v>62</v>
      </c>
      <c r="B65" s="40">
        <v>21012135</v>
      </c>
      <c r="C65" s="39" t="s">
        <v>317</v>
      </c>
      <c r="D65" s="23">
        <v>60</v>
      </c>
      <c r="E65" s="23">
        <v>0</v>
      </c>
      <c r="F65" s="23">
        <v>0</v>
      </c>
      <c r="G65" s="23">
        <v>60</v>
      </c>
      <c r="H65" s="23">
        <f t="shared" si="1"/>
        <v>12</v>
      </c>
      <c r="I65" s="15">
        <v>124</v>
      </c>
      <c r="J65" s="35" t="s">
        <v>20</v>
      </c>
      <c r="K65" s="35"/>
      <c r="L65" s="35"/>
      <c r="M65" s="35"/>
      <c r="N65" s="35"/>
      <c r="O65" s="21" t="str">
        <f>_xlfn.DISPIMG("ID_C3B09B3F0D2E4AD3AF93F3E438615792",1)</f>
        <v>=DISPIMG("ID_C3B09B3F0D2E4AD3AF93F3E438615792",1)</v>
      </c>
      <c r="P65" s="46"/>
    </row>
    <row r="66" s="33" customFormat="1" ht="30" customHeight="1" spans="1:16">
      <c r="A66" s="23">
        <v>63</v>
      </c>
      <c r="B66" s="40">
        <v>21012141</v>
      </c>
      <c r="C66" s="39" t="s">
        <v>183</v>
      </c>
      <c r="D66" s="23">
        <v>60</v>
      </c>
      <c r="E66" s="23">
        <v>4</v>
      </c>
      <c r="F66" s="23">
        <v>0</v>
      </c>
      <c r="G66" s="23">
        <v>64</v>
      </c>
      <c r="H66" s="23">
        <f t="shared" si="1"/>
        <v>12.8</v>
      </c>
      <c r="I66" s="15">
        <v>48</v>
      </c>
      <c r="J66" s="35" t="s">
        <v>431</v>
      </c>
      <c r="K66" s="35"/>
      <c r="L66" s="35"/>
      <c r="M66" s="35"/>
      <c r="N66" s="35"/>
      <c r="O66" s="21" t="str">
        <f>_xlfn.DISPIMG("ID_6EECEF4EC27A47CCA48B0D0C079E5CB2",1)</f>
        <v>=DISPIMG("ID_6EECEF4EC27A47CCA48B0D0C079E5CB2",1)</v>
      </c>
      <c r="P66" s="46"/>
    </row>
    <row r="67" s="33" customFormat="1" ht="30" customHeight="1" spans="1:16">
      <c r="A67" s="23">
        <v>64</v>
      </c>
      <c r="B67" s="40">
        <v>21012144</v>
      </c>
      <c r="C67" s="39" t="s">
        <v>23</v>
      </c>
      <c r="D67" s="23">
        <v>60</v>
      </c>
      <c r="E67" s="23">
        <v>32.5</v>
      </c>
      <c r="F67" s="23">
        <v>0</v>
      </c>
      <c r="G67" s="23">
        <v>92.5</v>
      </c>
      <c r="H67" s="23">
        <f t="shared" si="1"/>
        <v>18.5</v>
      </c>
      <c r="I67" s="15">
        <v>4</v>
      </c>
      <c r="J67" s="44" t="s">
        <v>432</v>
      </c>
      <c r="K67" s="44"/>
      <c r="L67" s="44"/>
      <c r="M67" s="44"/>
      <c r="N67" s="44"/>
      <c r="O67" s="21" t="str">
        <f>_xlfn.DISPIMG("ID_D9AC2E4C2B594B7494E4CB3D68316F8A",1)</f>
        <v>=DISPIMG("ID_D9AC2E4C2B594B7494E4CB3D68316F8A",1)</v>
      </c>
      <c r="P67" s="46"/>
    </row>
    <row r="68" s="33" customFormat="1" ht="30" customHeight="1" spans="1:16">
      <c r="A68" s="23">
        <v>65</v>
      </c>
      <c r="B68" s="40">
        <v>21012151</v>
      </c>
      <c r="C68" s="39" t="s">
        <v>290</v>
      </c>
      <c r="D68" s="23">
        <v>60</v>
      </c>
      <c r="E68" s="23">
        <v>2</v>
      </c>
      <c r="F68" s="23">
        <v>0</v>
      </c>
      <c r="G68" s="23">
        <v>62</v>
      </c>
      <c r="H68" s="23">
        <f t="shared" si="1"/>
        <v>12.4</v>
      </c>
      <c r="I68" s="15">
        <v>85</v>
      </c>
      <c r="J68" s="35" t="s">
        <v>433</v>
      </c>
      <c r="K68" s="35"/>
      <c r="L68" s="35"/>
      <c r="M68" s="35"/>
      <c r="N68" s="35"/>
      <c r="O68" s="21" t="str">
        <f>_xlfn.DISPIMG("ID_B9F3E4E9C3E349AC8E956EA7E7A2C6D6",1)</f>
        <v>=DISPIMG("ID_B9F3E4E9C3E349AC8E956EA7E7A2C6D6",1)</v>
      </c>
      <c r="P68" s="46"/>
    </row>
    <row r="69" s="33" customFormat="1" ht="30" customHeight="1" spans="1:16">
      <c r="A69" s="23">
        <v>66</v>
      </c>
      <c r="B69" s="40">
        <v>21012153</v>
      </c>
      <c r="C69" s="39" t="s">
        <v>153</v>
      </c>
      <c r="D69" s="23">
        <v>60</v>
      </c>
      <c r="E69" s="23">
        <v>2</v>
      </c>
      <c r="F69" s="23">
        <v>0</v>
      </c>
      <c r="G69" s="23">
        <v>62</v>
      </c>
      <c r="H69" s="23">
        <f t="shared" ref="H69:H100" si="2">G69*0.2</f>
        <v>12.4</v>
      </c>
      <c r="I69" s="15">
        <v>85</v>
      </c>
      <c r="J69" s="35" t="s">
        <v>434</v>
      </c>
      <c r="K69" s="35"/>
      <c r="L69" s="35"/>
      <c r="M69" s="35"/>
      <c r="N69" s="35"/>
      <c r="O69" s="21" t="str">
        <f>_xlfn.DISPIMG("ID_9258CFD5E60C41C6814F7EEF30083FD1",1)</f>
        <v>=DISPIMG("ID_9258CFD5E60C41C6814F7EEF30083FD1",1)</v>
      </c>
      <c r="P69" s="46"/>
    </row>
    <row r="70" s="33" customFormat="1" ht="30" customHeight="1" spans="1:16">
      <c r="A70" s="23">
        <v>67</v>
      </c>
      <c r="B70" s="39" t="s">
        <v>118</v>
      </c>
      <c r="C70" s="39" t="s">
        <v>119</v>
      </c>
      <c r="D70" s="47">
        <v>60</v>
      </c>
      <c r="E70" s="47">
        <v>2</v>
      </c>
      <c r="F70" s="47">
        <v>0</v>
      </c>
      <c r="G70" s="47">
        <v>62</v>
      </c>
      <c r="H70" s="23">
        <f t="shared" si="2"/>
        <v>12.4</v>
      </c>
      <c r="I70" s="15">
        <v>85</v>
      </c>
      <c r="J70" s="39" t="s">
        <v>407</v>
      </c>
      <c r="K70" s="39"/>
      <c r="L70" s="39"/>
      <c r="M70" s="39"/>
      <c r="N70" s="39"/>
      <c r="O70" s="17" t="str">
        <f>_xlfn.DISPIMG("ID_B40A970E303E4F5DB3C195D5613C5DEE",1)</f>
        <v>=DISPIMG("ID_B40A970E303E4F5DB3C195D5613C5DEE",1)</v>
      </c>
      <c r="P70" s="46"/>
    </row>
    <row r="71" s="33" customFormat="1" ht="30" customHeight="1" spans="1:16">
      <c r="A71" s="23">
        <v>68</v>
      </c>
      <c r="B71" s="39">
        <v>21012009</v>
      </c>
      <c r="C71" s="39" t="s">
        <v>308</v>
      </c>
      <c r="D71" s="47">
        <v>60</v>
      </c>
      <c r="E71" s="47">
        <v>0</v>
      </c>
      <c r="F71" s="47">
        <v>0</v>
      </c>
      <c r="G71" s="47">
        <v>60</v>
      </c>
      <c r="H71" s="23">
        <f t="shared" si="2"/>
        <v>12</v>
      </c>
      <c r="I71" s="15">
        <v>124</v>
      </c>
      <c r="J71" s="39"/>
      <c r="K71" s="39"/>
      <c r="L71" s="39"/>
      <c r="M71" s="39"/>
      <c r="N71" s="39"/>
      <c r="O71" s="17" t="str">
        <f>_xlfn.DISPIMG("ID_8E75258423904F978B8D295FA9150929",1)</f>
        <v>=DISPIMG("ID_8E75258423904F978B8D295FA9150929",1)</v>
      </c>
      <c r="P71" s="46"/>
    </row>
    <row r="72" s="33" customFormat="1" ht="30" customHeight="1" spans="1:16">
      <c r="A72" s="23">
        <v>69</v>
      </c>
      <c r="B72" s="39">
        <v>21012014</v>
      </c>
      <c r="C72" s="39" t="s">
        <v>221</v>
      </c>
      <c r="D72" s="47">
        <v>60</v>
      </c>
      <c r="E72" s="47">
        <v>0</v>
      </c>
      <c r="F72" s="47">
        <v>0</v>
      </c>
      <c r="G72" s="47">
        <v>60</v>
      </c>
      <c r="H72" s="23">
        <f t="shared" si="2"/>
        <v>12</v>
      </c>
      <c r="I72" s="15">
        <v>124</v>
      </c>
      <c r="J72" s="39"/>
      <c r="K72" s="39"/>
      <c r="L72" s="39"/>
      <c r="M72" s="39"/>
      <c r="N72" s="39"/>
      <c r="O72" s="3" t="str">
        <f>_xlfn.DISPIMG("ID_4E291C5D7F5C45DAA4787E5B005AB433",1)</f>
        <v>=DISPIMG("ID_4E291C5D7F5C45DAA4787E5B005AB433",1)</v>
      </c>
      <c r="P72" s="46"/>
    </row>
    <row r="73" s="33" customFormat="1" ht="30" customHeight="1" spans="1:16">
      <c r="A73" s="23">
        <v>70</v>
      </c>
      <c r="B73" s="39">
        <v>21012019</v>
      </c>
      <c r="C73" s="39" t="s">
        <v>248</v>
      </c>
      <c r="D73" s="47">
        <v>60</v>
      </c>
      <c r="E73" s="47">
        <v>4</v>
      </c>
      <c r="F73" s="47">
        <v>0</v>
      </c>
      <c r="G73" s="47">
        <v>64</v>
      </c>
      <c r="H73" s="23">
        <f t="shared" si="2"/>
        <v>12.8</v>
      </c>
      <c r="I73" s="15">
        <v>48</v>
      </c>
      <c r="J73" s="39" t="s">
        <v>435</v>
      </c>
      <c r="K73" s="39"/>
      <c r="L73" s="39"/>
      <c r="M73" s="39"/>
      <c r="N73" s="39"/>
      <c r="O73" s="3" t="str">
        <f>_xlfn.DISPIMG("ID_C7CA0887D99445F89CFA1E45ABCBE067",1)</f>
        <v>=DISPIMG("ID_C7CA0887D99445F89CFA1E45ABCBE067",1)</v>
      </c>
      <c r="P73" s="46"/>
    </row>
    <row r="74" s="33" customFormat="1" ht="30" customHeight="1" spans="1:16">
      <c r="A74" s="23">
        <v>71</v>
      </c>
      <c r="B74" s="39">
        <v>21012025</v>
      </c>
      <c r="C74" s="39" t="s">
        <v>149</v>
      </c>
      <c r="D74" s="47">
        <v>60</v>
      </c>
      <c r="E74" s="47">
        <v>4</v>
      </c>
      <c r="F74" s="47">
        <v>0</v>
      </c>
      <c r="G74" s="47">
        <v>64</v>
      </c>
      <c r="H74" s="23">
        <f t="shared" si="2"/>
        <v>12.8</v>
      </c>
      <c r="I74" s="15">
        <v>48</v>
      </c>
      <c r="J74" s="44" t="s">
        <v>436</v>
      </c>
      <c r="K74" s="39"/>
      <c r="L74" s="39"/>
      <c r="M74" s="39"/>
      <c r="N74" s="39"/>
      <c r="O74" s="17" t="str">
        <f>_xlfn.DISPIMG("ID_67DAF9CEFCEE48D18ADC85D4DDC29FAF",1)</f>
        <v>=DISPIMG("ID_67DAF9CEFCEE48D18ADC85D4DDC29FAF",1)</v>
      </c>
      <c r="P74" s="46"/>
    </row>
    <row r="75" s="33" customFormat="1" ht="30" customHeight="1" spans="1:16">
      <c r="A75" s="23">
        <v>72</v>
      </c>
      <c r="B75" s="39">
        <v>21012030</v>
      </c>
      <c r="C75" s="39" t="s">
        <v>257</v>
      </c>
      <c r="D75" s="47">
        <v>60</v>
      </c>
      <c r="E75" s="47">
        <v>0.5</v>
      </c>
      <c r="F75" s="47">
        <v>0</v>
      </c>
      <c r="G75" s="47">
        <v>60.5</v>
      </c>
      <c r="H75" s="23">
        <f t="shared" si="2"/>
        <v>12.1</v>
      </c>
      <c r="I75" s="15">
        <v>115</v>
      </c>
      <c r="J75" s="39" t="s">
        <v>437</v>
      </c>
      <c r="K75" s="39"/>
      <c r="L75" s="39"/>
      <c r="M75" s="39"/>
      <c r="N75" s="39"/>
      <c r="O75" s="3" t="str">
        <f>_xlfn.DISPIMG("ID_DA3D51D1E4D74650988C807CDC410648",1)</f>
        <v>=DISPIMG("ID_DA3D51D1E4D74650988C807CDC410648",1)</v>
      </c>
      <c r="P75" s="46"/>
    </row>
    <row r="76" s="33" customFormat="1" ht="30" customHeight="1" spans="1:16">
      <c r="A76" s="23">
        <v>73</v>
      </c>
      <c r="B76" s="39">
        <v>21012034</v>
      </c>
      <c r="C76" s="39" t="s">
        <v>244</v>
      </c>
      <c r="D76" s="47">
        <v>60.5</v>
      </c>
      <c r="E76" s="47">
        <v>0.5</v>
      </c>
      <c r="F76" s="47">
        <v>0</v>
      </c>
      <c r="G76" s="47">
        <v>60.5</v>
      </c>
      <c r="H76" s="23">
        <f t="shared" si="2"/>
        <v>12.1</v>
      </c>
      <c r="I76" s="15">
        <v>115</v>
      </c>
      <c r="J76" s="39" t="s">
        <v>438</v>
      </c>
      <c r="K76" s="39"/>
      <c r="L76" s="39"/>
      <c r="M76" s="39"/>
      <c r="N76" s="39"/>
      <c r="O76" s="17" t="str">
        <f>_xlfn.DISPIMG("ID_CCAABE6708F44A89B2F0A7566A3D1F37",1)</f>
        <v>=DISPIMG("ID_CCAABE6708F44A89B2F0A7566A3D1F37",1)</v>
      </c>
      <c r="P76" s="46"/>
    </row>
    <row r="77" s="33" customFormat="1" ht="30" customHeight="1" spans="1:16">
      <c r="A77" s="23">
        <v>74</v>
      </c>
      <c r="B77" s="39">
        <v>21012036</v>
      </c>
      <c r="C77" s="39" t="s">
        <v>76</v>
      </c>
      <c r="D77" s="47">
        <v>60</v>
      </c>
      <c r="E77" s="47">
        <v>10</v>
      </c>
      <c r="F77" s="47">
        <v>0</v>
      </c>
      <c r="G77" s="47">
        <v>70</v>
      </c>
      <c r="H77" s="23">
        <f t="shared" si="2"/>
        <v>14</v>
      </c>
      <c r="I77" s="15">
        <v>20</v>
      </c>
      <c r="J77" s="48" t="s">
        <v>439</v>
      </c>
      <c r="K77" s="39"/>
      <c r="L77" s="39"/>
      <c r="M77" s="39"/>
      <c r="N77" s="39"/>
      <c r="O77" s="3" t="str">
        <f>_xlfn.DISPIMG("ID_E3C72633E5B941D5977DB1E2202B8B33",1)</f>
        <v>=DISPIMG("ID_E3C72633E5B941D5977DB1E2202B8B33",1)</v>
      </c>
      <c r="P77" s="46"/>
    </row>
    <row r="78" s="33" customFormat="1" ht="30" customHeight="1" spans="1:16">
      <c r="A78" s="23">
        <v>75</v>
      </c>
      <c r="B78" s="39">
        <v>21012041</v>
      </c>
      <c r="C78" s="39" t="s">
        <v>181</v>
      </c>
      <c r="D78" s="47">
        <v>60</v>
      </c>
      <c r="E78" s="47">
        <v>0.5</v>
      </c>
      <c r="F78" s="47">
        <v>0</v>
      </c>
      <c r="G78" s="47">
        <v>60.5</v>
      </c>
      <c r="H78" s="23">
        <f t="shared" si="2"/>
        <v>12.1</v>
      </c>
      <c r="I78" s="15">
        <v>115</v>
      </c>
      <c r="J78" s="39" t="s">
        <v>440</v>
      </c>
      <c r="K78" s="39"/>
      <c r="L78" s="39"/>
      <c r="M78" s="39"/>
      <c r="N78" s="39"/>
      <c r="O78" s="17" t="str">
        <f>_xlfn.DISPIMG("ID_E0FCED2F2DEB41C6B605E08E2C89045C",1)</f>
        <v>=DISPIMG("ID_E0FCED2F2DEB41C6B605E08E2C89045C",1)</v>
      </c>
      <c r="P78" s="46"/>
    </row>
    <row r="79" s="33" customFormat="1" ht="30" customHeight="1" spans="1:16">
      <c r="A79" s="23">
        <v>76</v>
      </c>
      <c r="B79" s="39">
        <v>21012046</v>
      </c>
      <c r="C79" s="39" t="s">
        <v>172</v>
      </c>
      <c r="D79" s="47">
        <v>60</v>
      </c>
      <c r="E79" s="47">
        <v>0</v>
      </c>
      <c r="F79" s="47">
        <v>0</v>
      </c>
      <c r="G79" s="47">
        <v>60</v>
      </c>
      <c r="H79" s="23">
        <f t="shared" si="2"/>
        <v>12</v>
      </c>
      <c r="I79" s="15">
        <v>124</v>
      </c>
      <c r="J79" s="39"/>
      <c r="K79" s="39"/>
      <c r="L79" s="39"/>
      <c r="M79" s="39"/>
      <c r="N79" s="39"/>
      <c r="O79" s="17" t="str">
        <f>_xlfn.DISPIMG("ID_F73AAE817ADF4F6B8DCE25BF811B6C93",1)</f>
        <v>=DISPIMG("ID_F73AAE817ADF4F6B8DCE25BF811B6C93",1)</v>
      </c>
      <c r="P79" s="46"/>
    </row>
    <row r="80" s="33" customFormat="1" ht="30" customHeight="1" spans="1:16">
      <c r="A80" s="23">
        <v>77</v>
      </c>
      <c r="B80" s="39">
        <v>21012051</v>
      </c>
      <c r="C80" s="39" t="s">
        <v>286</v>
      </c>
      <c r="D80" s="47">
        <v>60</v>
      </c>
      <c r="E80" s="47">
        <v>2</v>
      </c>
      <c r="F80" s="47">
        <v>0</v>
      </c>
      <c r="G80" s="47">
        <v>62</v>
      </c>
      <c r="H80" s="23">
        <f t="shared" si="2"/>
        <v>12.4</v>
      </c>
      <c r="I80" s="15">
        <v>85</v>
      </c>
      <c r="J80" s="39" t="s">
        <v>407</v>
      </c>
      <c r="K80" s="39"/>
      <c r="L80" s="39"/>
      <c r="M80" s="39"/>
      <c r="N80" s="39"/>
      <c r="O80" s="17" t="str">
        <f>_xlfn.DISPIMG("ID_E7220DA372464661B5784B088A17B5C1",1)</f>
        <v>=DISPIMG("ID_E7220DA372464661B5784B088A17B5C1",1)</v>
      </c>
      <c r="P80" s="46"/>
    </row>
    <row r="81" s="33" customFormat="1" ht="30" customHeight="1" spans="1:16">
      <c r="A81" s="23">
        <v>78</v>
      </c>
      <c r="B81" s="39">
        <v>21012057</v>
      </c>
      <c r="C81" s="39" t="s">
        <v>254</v>
      </c>
      <c r="D81" s="47">
        <v>60</v>
      </c>
      <c r="E81" s="47">
        <v>0</v>
      </c>
      <c r="F81" s="47">
        <v>0</v>
      </c>
      <c r="G81" s="47">
        <v>60</v>
      </c>
      <c r="H81" s="23">
        <f t="shared" si="2"/>
        <v>12</v>
      </c>
      <c r="I81" s="15">
        <v>124</v>
      </c>
      <c r="J81" s="39"/>
      <c r="K81" s="39"/>
      <c r="L81" s="39"/>
      <c r="M81" s="39"/>
      <c r="N81" s="39"/>
      <c r="O81" s="3" t="str">
        <f>_xlfn.DISPIMG("ID_FA7DCD9E0FCF4766BC752710075E8685",1)</f>
        <v>=DISPIMG("ID_FA7DCD9E0FCF4766BC752710075E8685",1)</v>
      </c>
      <c r="P81" s="46"/>
    </row>
    <row r="82" s="33" customFormat="1" ht="30" customHeight="1" spans="1:16">
      <c r="A82" s="23">
        <v>79</v>
      </c>
      <c r="B82" s="39">
        <v>21012067</v>
      </c>
      <c r="C82" s="39" t="s">
        <v>261</v>
      </c>
      <c r="D82" s="47">
        <v>60</v>
      </c>
      <c r="E82" s="47">
        <v>0</v>
      </c>
      <c r="F82" s="47">
        <v>0</v>
      </c>
      <c r="G82" s="47">
        <v>60</v>
      </c>
      <c r="H82" s="23">
        <f t="shared" si="2"/>
        <v>12</v>
      </c>
      <c r="I82" s="15">
        <v>124</v>
      </c>
      <c r="J82" s="39"/>
      <c r="K82" s="39"/>
      <c r="L82" s="39"/>
      <c r="M82" s="39"/>
      <c r="N82" s="39"/>
      <c r="O82" s="17" t="str">
        <f>_xlfn.DISPIMG("ID_57F86513A98E4AB7B581DB6654B03156",1)</f>
        <v>=DISPIMG("ID_57F86513A98E4AB7B581DB6654B03156",1)</v>
      </c>
      <c r="P82" s="46"/>
    </row>
    <row r="83" s="33" customFormat="1" ht="30" customHeight="1" spans="1:16">
      <c r="A83" s="23">
        <v>80</v>
      </c>
      <c r="B83" s="39">
        <v>21012075</v>
      </c>
      <c r="C83" s="39" t="s">
        <v>163</v>
      </c>
      <c r="D83" s="47">
        <v>60</v>
      </c>
      <c r="E83" s="47">
        <v>0.5</v>
      </c>
      <c r="F83" s="47">
        <v>0</v>
      </c>
      <c r="G83" s="47">
        <v>60.5</v>
      </c>
      <c r="H83" s="23">
        <f t="shared" si="2"/>
        <v>12.1</v>
      </c>
      <c r="I83" s="15">
        <v>115</v>
      </c>
      <c r="J83" s="39" t="s">
        <v>441</v>
      </c>
      <c r="K83" s="39"/>
      <c r="L83" s="39"/>
      <c r="M83" s="39"/>
      <c r="N83" s="39"/>
      <c r="O83" s="17" t="str">
        <f>_xlfn.DISPIMG("ID_E55ED0FBFF8C4C36AD5E8040B517A55F",1)</f>
        <v>=DISPIMG("ID_E55ED0FBFF8C4C36AD5E8040B517A55F",1)</v>
      </c>
      <c r="P83" s="46"/>
    </row>
    <row r="84" s="33" customFormat="1" ht="30" customHeight="1" spans="1:16">
      <c r="A84" s="23">
        <v>81</v>
      </c>
      <c r="B84" s="39">
        <v>21012077</v>
      </c>
      <c r="C84" s="39" t="s">
        <v>314</v>
      </c>
      <c r="D84" s="47">
        <v>60</v>
      </c>
      <c r="E84" s="47">
        <v>2</v>
      </c>
      <c r="F84" s="47">
        <v>0</v>
      </c>
      <c r="G84" s="47">
        <v>62</v>
      </c>
      <c r="H84" s="23">
        <f t="shared" si="2"/>
        <v>12.4</v>
      </c>
      <c r="I84" s="15">
        <v>85</v>
      </c>
      <c r="J84" s="39" t="s">
        <v>407</v>
      </c>
      <c r="K84" s="39"/>
      <c r="L84" s="39"/>
      <c r="M84" s="39"/>
      <c r="N84" s="39"/>
      <c r="O84" s="17" t="str">
        <f>_xlfn.DISPIMG("ID_FFC24DFD76BD47D1A1D7BC42BA0132F7",1)</f>
        <v>=DISPIMG("ID_FFC24DFD76BD47D1A1D7BC42BA0132F7",1)</v>
      </c>
      <c r="P84" s="46"/>
    </row>
    <row r="85" s="33" customFormat="1" ht="30" customHeight="1" spans="1:16">
      <c r="A85" s="23">
        <v>82</v>
      </c>
      <c r="B85" s="39">
        <v>21012081</v>
      </c>
      <c r="C85" s="39" t="s">
        <v>312</v>
      </c>
      <c r="D85" s="47">
        <v>60</v>
      </c>
      <c r="E85" s="47">
        <v>2</v>
      </c>
      <c r="F85" s="47">
        <v>0</v>
      </c>
      <c r="G85" s="47">
        <v>62</v>
      </c>
      <c r="H85" s="23">
        <f t="shared" si="2"/>
        <v>12.4</v>
      </c>
      <c r="I85" s="15">
        <v>85</v>
      </c>
      <c r="J85" s="39" t="s">
        <v>415</v>
      </c>
      <c r="K85" s="39"/>
      <c r="L85" s="39"/>
      <c r="M85" s="39"/>
      <c r="N85" s="39"/>
      <c r="O85" s="3" t="str">
        <f>_xlfn.DISPIMG("ID_587A746376F5497886009B276B01E484",1)</f>
        <v>=DISPIMG("ID_587A746376F5497886009B276B01E484",1)</v>
      </c>
      <c r="P85" s="46"/>
    </row>
    <row r="86" s="33" customFormat="1" ht="30" customHeight="1" spans="1:16">
      <c r="A86" s="23">
        <v>83</v>
      </c>
      <c r="B86" s="39">
        <v>21012086</v>
      </c>
      <c r="C86" s="39" t="s">
        <v>107</v>
      </c>
      <c r="D86" s="47">
        <v>60</v>
      </c>
      <c r="E86" s="47">
        <v>2.5</v>
      </c>
      <c r="F86" s="47">
        <v>0</v>
      </c>
      <c r="G86" s="47">
        <v>62.5</v>
      </c>
      <c r="H86" s="23">
        <f t="shared" si="2"/>
        <v>12.5</v>
      </c>
      <c r="I86" s="15">
        <v>79</v>
      </c>
      <c r="J86" s="48" t="s">
        <v>442</v>
      </c>
      <c r="K86" s="39"/>
      <c r="L86" s="39"/>
      <c r="M86" s="39"/>
      <c r="N86" s="39"/>
      <c r="O86" s="26" t="str">
        <f>_xlfn.DISPIMG("ID_DCB4D494674949C4A100A29A4E36CD24",1)</f>
        <v>=DISPIMG("ID_DCB4D494674949C4A100A29A4E36CD24",1)</v>
      </c>
      <c r="P86" s="46"/>
    </row>
    <row r="87" s="33" customFormat="1" ht="30" customHeight="1" spans="1:16">
      <c r="A87" s="23">
        <v>84</v>
      </c>
      <c r="B87" s="39">
        <v>21012092</v>
      </c>
      <c r="C87" s="39" t="s">
        <v>123</v>
      </c>
      <c r="D87" s="47">
        <v>60</v>
      </c>
      <c r="E87" s="47">
        <v>4</v>
      </c>
      <c r="F87" s="47">
        <v>0</v>
      </c>
      <c r="G87" s="47">
        <v>64</v>
      </c>
      <c r="H87" s="23">
        <f t="shared" si="2"/>
        <v>12.8</v>
      </c>
      <c r="I87" s="15">
        <v>48</v>
      </c>
      <c r="J87" s="49" t="s">
        <v>443</v>
      </c>
      <c r="K87" s="50"/>
      <c r="L87" s="50"/>
      <c r="M87" s="50"/>
      <c r="N87" s="50"/>
      <c r="O87" s="3" t="str">
        <f>_xlfn.DISPIMG("ID_639461AE4D984CEBA92CD54B362CDAE5",1)</f>
        <v>=DISPIMG("ID_639461AE4D984CEBA92CD54B362CDAE5",1)</v>
      </c>
      <c r="P87" s="46"/>
    </row>
    <row r="88" s="33" customFormat="1" ht="30" customHeight="1" spans="1:16">
      <c r="A88" s="23">
        <v>85</v>
      </c>
      <c r="B88" s="39">
        <v>21012099</v>
      </c>
      <c r="C88" s="39" t="s">
        <v>205</v>
      </c>
      <c r="D88" s="47">
        <v>60</v>
      </c>
      <c r="E88" s="47">
        <v>2.5</v>
      </c>
      <c r="F88" s="47">
        <v>0</v>
      </c>
      <c r="G88" s="47">
        <v>62.5</v>
      </c>
      <c r="H88" s="23">
        <f t="shared" si="2"/>
        <v>12.5</v>
      </c>
      <c r="I88" s="15">
        <v>79</v>
      </c>
      <c r="J88" s="44" t="s">
        <v>444</v>
      </c>
      <c r="K88" s="39"/>
      <c r="L88" s="39"/>
      <c r="M88" s="39"/>
      <c r="N88" s="39"/>
      <c r="O88" s="3" t="str">
        <f>_xlfn.DISPIMG("ID_30738FA729EB46418B327987370EB489",1)</f>
        <v>=DISPIMG("ID_30738FA729EB46418B327987370EB489",1)</v>
      </c>
      <c r="P88" s="46"/>
    </row>
    <row r="89" s="33" customFormat="1" ht="30" customHeight="1" spans="1:16">
      <c r="A89" s="23">
        <v>86</v>
      </c>
      <c r="B89" s="39">
        <v>21012104</v>
      </c>
      <c r="C89" s="39" t="s">
        <v>213</v>
      </c>
      <c r="D89" s="47">
        <v>62</v>
      </c>
      <c r="E89" s="47">
        <v>2</v>
      </c>
      <c r="F89" s="47"/>
      <c r="G89" s="47">
        <v>62</v>
      </c>
      <c r="H89" s="23">
        <f t="shared" si="2"/>
        <v>12.4</v>
      </c>
      <c r="I89" s="15">
        <v>85</v>
      </c>
      <c r="J89" s="44" t="s">
        <v>445</v>
      </c>
      <c r="K89" s="39"/>
      <c r="L89" s="39"/>
      <c r="M89" s="39"/>
      <c r="N89" s="39"/>
      <c r="O89" s="17" t="str">
        <f>_xlfn.DISPIMG("ID_B25B0CA5DF054676ABFE5319271FC946",1)</f>
        <v>=DISPIMG("ID_B25B0CA5DF054676ABFE5319271FC946",1)</v>
      </c>
      <c r="P89" s="46"/>
    </row>
    <row r="90" s="33" customFormat="1" ht="30" customHeight="1" spans="1:16">
      <c r="A90" s="23">
        <v>87</v>
      </c>
      <c r="B90" s="39">
        <v>21012109</v>
      </c>
      <c r="C90" s="39" t="s">
        <v>50</v>
      </c>
      <c r="D90" s="47">
        <v>76.5</v>
      </c>
      <c r="E90" s="47">
        <v>18.5</v>
      </c>
      <c r="F90" s="47">
        <v>0</v>
      </c>
      <c r="G90" s="47">
        <v>78.5</v>
      </c>
      <c r="H90" s="23">
        <f t="shared" si="2"/>
        <v>15.7</v>
      </c>
      <c r="I90" s="15">
        <v>9</v>
      </c>
      <c r="J90" s="44" t="s">
        <v>446</v>
      </c>
      <c r="K90" s="39"/>
      <c r="L90" s="39"/>
      <c r="M90" s="39"/>
      <c r="N90" s="39"/>
      <c r="O90" s="3" t="str">
        <f>_xlfn.DISPIMG("ID_E25EC9CECEC042F89E171D8582269DEF",1)</f>
        <v>=DISPIMG("ID_E25EC9CECEC042F89E171D8582269DEF",1)</v>
      </c>
      <c r="P90" s="46"/>
    </row>
    <row r="91" s="33" customFormat="1" ht="30" customHeight="1" spans="1:16">
      <c r="A91" s="23">
        <v>88</v>
      </c>
      <c r="B91" s="39">
        <v>21012112</v>
      </c>
      <c r="C91" s="39" t="s">
        <v>137</v>
      </c>
      <c r="D91" s="47">
        <v>60</v>
      </c>
      <c r="E91" s="47">
        <v>4</v>
      </c>
      <c r="F91" s="47">
        <v>0</v>
      </c>
      <c r="G91" s="47">
        <v>64</v>
      </c>
      <c r="H91" s="23">
        <f t="shared" si="2"/>
        <v>12.8</v>
      </c>
      <c r="I91" s="15">
        <v>48</v>
      </c>
      <c r="J91" s="39" t="s">
        <v>447</v>
      </c>
      <c r="K91" s="39"/>
      <c r="L91" s="39"/>
      <c r="M91" s="39"/>
      <c r="N91" s="39"/>
      <c r="O91" s="17" t="str">
        <f>_xlfn.DISPIMG("ID_21B1138ED52847FA97BE25B9BACEAF48",1)</f>
        <v>=DISPIMG("ID_21B1138ED52847FA97BE25B9BACEAF48",1)</v>
      </c>
      <c r="P91" s="46"/>
    </row>
    <row r="92" s="33" customFormat="1" ht="30" customHeight="1" spans="1:16">
      <c r="A92" s="23">
        <v>89</v>
      </c>
      <c r="B92" s="39">
        <v>21012118</v>
      </c>
      <c r="C92" s="39" t="s">
        <v>109</v>
      </c>
      <c r="D92" s="47">
        <v>60</v>
      </c>
      <c r="E92" s="47">
        <v>2</v>
      </c>
      <c r="F92" s="47">
        <v>0</v>
      </c>
      <c r="G92" s="47">
        <v>62</v>
      </c>
      <c r="H92" s="23">
        <f t="shared" si="2"/>
        <v>12.4</v>
      </c>
      <c r="I92" s="15">
        <v>85</v>
      </c>
      <c r="J92" s="39" t="s">
        <v>415</v>
      </c>
      <c r="K92" s="39"/>
      <c r="L92" s="39"/>
      <c r="M92" s="39"/>
      <c r="N92" s="39"/>
      <c r="O92" s="3" t="str">
        <f>_xlfn.DISPIMG("ID_03A8F5EE49B046BC8363E327758CB657",1)</f>
        <v>=DISPIMG("ID_03A8F5EE49B046BC8363E327758CB657",1)</v>
      </c>
      <c r="P92" s="46"/>
    </row>
    <row r="93" s="33" customFormat="1" ht="30" customHeight="1" spans="1:16">
      <c r="A93" s="23">
        <v>90</v>
      </c>
      <c r="B93" s="39">
        <v>21012123</v>
      </c>
      <c r="C93" s="39" t="s">
        <v>263</v>
      </c>
      <c r="D93" s="47">
        <v>60</v>
      </c>
      <c r="E93" s="47">
        <v>0</v>
      </c>
      <c r="F93" s="47">
        <v>0</v>
      </c>
      <c r="G93" s="47">
        <v>60</v>
      </c>
      <c r="H93" s="23">
        <f t="shared" si="2"/>
        <v>12</v>
      </c>
      <c r="I93" s="15">
        <v>124</v>
      </c>
      <c r="J93" s="39"/>
      <c r="K93" s="39"/>
      <c r="L93" s="39"/>
      <c r="M93" s="39"/>
      <c r="N93" s="39"/>
      <c r="O93" s="17" t="str">
        <f>_xlfn.DISPIMG("ID_A321F4FDB3B842EF97BD9F23CFCD76DD",1)</f>
        <v>=DISPIMG("ID_A321F4FDB3B842EF97BD9F23CFCD76DD",1)</v>
      </c>
      <c r="P93" s="46"/>
    </row>
    <row r="94" s="33" customFormat="1" ht="30" customHeight="1" spans="1:16">
      <c r="A94" s="23">
        <v>91</v>
      </c>
      <c r="B94" s="39">
        <v>21012134</v>
      </c>
      <c r="C94" s="39" t="s">
        <v>211</v>
      </c>
      <c r="D94" s="47">
        <v>60</v>
      </c>
      <c r="E94" s="47">
        <v>0</v>
      </c>
      <c r="F94" s="47">
        <v>0</v>
      </c>
      <c r="G94" s="47">
        <v>60</v>
      </c>
      <c r="H94" s="23">
        <f t="shared" si="2"/>
        <v>12</v>
      </c>
      <c r="I94" s="15">
        <v>124</v>
      </c>
      <c r="J94" s="48"/>
      <c r="K94" s="39"/>
      <c r="L94" s="39"/>
      <c r="M94" s="39"/>
      <c r="N94" s="39"/>
      <c r="O94" s="17" t="str">
        <f>_xlfn.DISPIMG("ID_480A6F979C4E402E984ED5572520B8D5",1)</f>
        <v>=DISPIMG("ID_480A6F979C4E402E984ED5572520B8D5",1)</v>
      </c>
      <c r="P94" s="46"/>
    </row>
    <row r="95" s="33" customFormat="1" ht="30" customHeight="1" spans="1:16">
      <c r="A95" s="23">
        <v>92</v>
      </c>
      <c r="B95" s="39">
        <v>21012145</v>
      </c>
      <c r="C95" s="39" t="s">
        <v>230</v>
      </c>
      <c r="D95" s="47">
        <v>60</v>
      </c>
      <c r="E95" s="47">
        <v>0</v>
      </c>
      <c r="F95" s="47">
        <v>0</v>
      </c>
      <c r="G95" s="47">
        <v>60</v>
      </c>
      <c r="H95" s="23">
        <f t="shared" si="2"/>
        <v>12</v>
      </c>
      <c r="I95" s="15">
        <v>124</v>
      </c>
      <c r="J95" s="39"/>
      <c r="K95" s="39"/>
      <c r="L95" s="39"/>
      <c r="M95" s="39"/>
      <c r="N95" s="39"/>
      <c r="O95" s="17" t="str">
        <f>_xlfn.DISPIMG("ID_A8E5F529AFA74A0BA50B109E42ED5D8B",1)</f>
        <v>=DISPIMG("ID_A8E5F529AFA74A0BA50B109E42ED5D8B",1)</v>
      </c>
      <c r="P95" s="46"/>
    </row>
    <row r="96" s="33" customFormat="1" ht="30" customHeight="1" spans="1:16">
      <c r="A96" s="23">
        <v>93</v>
      </c>
      <c r="B96" s="39">
        <v>21012152</v>
      </c>
      <c r="C96" s="39" t="s">
        <v>179</v>
      </c>
      <c r="D96" s="47">
        <v>60</v>
      </c>
      <c r="E96" s="47">
        <v>2.5</v>
      </c>
      <c r="F96" s="47">
        <v>0</v>
      </c>
      <c r="G96" s="47">
        <v>62.5</v>
      </c>
      <c r="H96" s="23">
        <f t="shared" si="2"/>
        <v>12.5</v>
      </c>
      <c r="I96" s="15">
        <v>79</v>
      </c>
      <c r="J96" s="48" t="s">
        <v>448</v>
      </c>
      <c r="K96" s="39"/>
      <c r="L96" s="39"/>
      <c r="M96" s="39"/>
      <c r="N96" s="39"/>
      <c r="O96" s="3" t="str">
        <f>_xlfn.DISPIMG("ID_9BCDD1B0C04A49BF9DE8056658015A4B",1)</f>
        <v>=DISPIMG("ID_9BCDD1B0C04A49BF9DE8056658015A4B",1)</v>
      </c>
      <c r="P96" s="46"/>
    </row>
    <row r="97" s="33" customFormat="1" ht="30" customHeight="1" spans="1:16">
      <c r="A97" s="23">
        <v>94</v>
      </c>
      <c r="B97" s="39">
        <v>21012156</v>
      </c>
      <c r="C97" s="39" t="s">
        <v>234</v>
      </c>
      <c r="D97" s="47">
        <v>60</v>
      </c>
      <c r="E97" s="47">
        <v>2</v>
      </c>
      <c r="F97" s="47">
        <v>0</v>
      </c>
      <c r="G97" s="47">
        <v>62</v>
      </c>
      <c r="H97" s="23">
        <f t="shared" si="2"/>
        <v>12.4</v>
      </c>
      <c r="I97" s="15">
        <v>85</v>
      </c>
      <c r="J97" s="35" t="s">
        <v>407</v>
      </c>
      <c r="K97" s="39"/>
      <c r="L97" s="39"/>
      <c r="M97" s="39"/>
      <c r="N97" s="39"/>
      <c r="O97" s="17" t="str">
        <f>_xlfn.DISPIMG("ID_6436E0539C654818AA5F6094AA0017F5",1)</f>
        <v>=DISPIMG("ID_6436E0539C654818AA5F6094AA0017F5",1)</v>
      </c>
      <c r="P97" s="46"/>
    </row>
    <row r="98" s="33" customFormat="1" ht="30" customHeight="1" spans="1:16">
      <c r="A98" s="23">
        <v>95</v>
      </c>
      <c r="B98" s="39">
        <v>21012157</v>
      </c>
      <c r="C98" s="39" t="s">
        <v>184</v>
      </c>
      <c r="D98" s="47">
        <v>60</v>
      </c>
      <c r="E98" s="47">
        <v>2.5</v>
      </c>
      <c r="F98" s="47">
        <v>0</v>
      </c>
      <c r="G98" s="47">
        <v>62.5</v>
      </c>
      <c r="H98" s="23">
        <f t="shared" si="2"/>
        <v>12.5</v>
      </c>
      <c r="I98" s="15">
        <v>79</v>
      </c>
      <c r="J98" s="44" t="s">
        <v>449</v>
      </c>
      <c r="K98" s="39"/>
      <c r="L98" s="39"/>
      <c r="M98" s="39"/>
      <c r="N98" s="39"/>
      <c r="O98" s="17" t="str">
        <f>_xlfn.DISPIMG("ID_397A931FA5EB4BF990AA2E30B01BF5A1",1)</f>
        <v>=DISPIMG("ID_397A931FA5EB4BF990AA2E30B01BF5A1",1)</v>
      </c>
      <c r="P98" s="46"/>
    </row>
    <row r="99" s="33" customFormat="1" ht="30" customHeight="1" spans="1:16">
      <c r="A99" s="23">
        <v>96</v>
      </c>
      <c r="B99" s="35">
        <v>21012005</v>
      </c>
      <c r="C99" s="35" t="s">
        <v>56</v>
      </c>
      <c r="D99" s="23">
        <v>60</v>
      </c>
      <c r="E99" s="23">
        <v>4</v>
      </c>
      <c r="F99" s="23">
        <v>0</v>
      </c>
      <c r="G99" s="23">
        <v>64</v>
      </c>
      <c r="H99" s="23">
        <f t="shared" si="2"/>
        <v>12.8</v>
      </c>
      <c r="I99" s="15">
        <v>48</v>
      </c>
      <c r="J99" s="44" t="s">
        <v>450</v>
      </c>
      <c r="K99" s="35"/>
      <c r="L99" s="35"/>
      <c r="M99" s="35"/>
      <c r="N99" s="35"/>
      <c r="O99" s="17" t="str">
        <f>_xlfn.DISPIMG("ID_77EEE50D838843DC9C4910B7ADB0C470",1)</f>
        <v>=DISPIMG("ID_77EEE50D838843DC9C4910B7ADB0C470",1)</v>
      </c>
      <c r="P99" s="46"/>
    </row>
    <row r="100" s="33" customFormat="1" ht="30" customHeight="1" spans="1:16">
      <c r="A100" s="23">
        <v>97</v>
      </c>
      <c r="B100" s="35">
        <v>21012008</v>
      </c>
      <c r="C100" s="35" t="s">
        <v>52</v>
      </c>
      <c r="D100" s="23">
        <v>60</v>
      </c>
      <c r="E100" s="23">
        <v>9</v>
      </c>
      <c r="F100" s="23">
        <v>0</v>
      </c>
      <c r="G100" s="23">
        <v>69</v>
      </c>
      <c r="H100" s="23">
        <f t="shared" si="2"/>
        <v>13.8</v>
      </c>
      <c r="I100" s="15">
        <v>24</v>
      </c>
      <c r="J100" s="44" t="s">
        <v>451</v>
      </c>
      <c r="K100" s="35"/>
      <c r="L100" s="35"/>
      <c r="M100" s="35"/>
      <c r="N100" s="35"/>
      <c r="O100" s="17" t="str">
        <f>_xlfn.DISPIMG("ID_744E1C5EA7C24468960DAA33BBC558BE",1)</f>
        <v>=DISPIMG("ID_744E1C5EA7C24468960DAA33BBC558BE",1)</v>
      </c>
      <c r="P100" s="46"/>
    </row>
    <row r="101" s="33" customFormat="1" ht="30" customHeight="1" spans="1:16">
      <c r="A101" s="23">
        <v>98</v>
      </c>
      <c r="B101" s="35">
        <v>21012015</v>
      </c>
      <c r="C101" s="35" t="s">
        <v>62</v>
      </c>
      <c r="D101" s="23">
        <v>60</v>
      </c>
      <c r="E101" s="23">
        <v>10.5</v>
      </c>
      <c r="F101" s="23">
        <v>0</v>
      </c>
      <c r="G101" s="23">
        <v>70.5</v>
      </c>
      <c r="H101" s="23">
        <f t="shared" ref="H101:H132" si="3">G101*0.2</f>
        <v>14.1</v>
      </c>
      <c r="I101" s="15">
        <v>18</v>
      </c>
      <c r="J101" s="51" t="s">
        <v>452</v>
      </c>
      <c r="K101" s="52"/>
      <c r="L101" s="52"/>
      <c r="M101" s="52"/>
      <c r="N101" s="52"/>
      <c r="O101" s="17" t="str">
        <f>_xlfn.DISPIMG("ID_D5D0B59EACA34595AA20E89475C9ECB8",1)</f>
        <v>=DISPIMG("ID_D5D0B59EACA34595AA20E89475C9ECB8",1)</v>
      </c>
      <c r="P101" s="46"/>
    </row>
    <row r="102" s="33" customFormat="1" ht="30" customHeight="1" spans="1:16">
      <c r="A102" s="23">
        <v>99</v>
      </c>
      <c r="B102" s="35">
        <v>21012018</v>
      </c>
      <c r="C102" s="35" t="s">
        <v>34</v>
      </c>
      <c r="D102" s="23">
        <v>60</v>
      </c>
      <c r="E102" s="23">
        <v>19.5</v>
      </c>
      <c r="F102" s="23">
        <v>0</v>
      </c>
      <c r="G102" s="23">
        <v>79.5</v>
      </c>
      <c r="H102" s="23">
        <f t="shared" si="3"/>
        <v>15.9</v>
      </c>
      <c r="I102" s="15">
        <v>8</v>
      </c>
      <c r="J102" s="51" t="s">
        <v>453</v>
      </c>
      <c r="K102" s="52"/>
      <c r="L102" s="52"/>
      <c r="M102" s="52"/>
      <c r="N102" s="52"/>
      <c r="O102" s="17" t="str">
        <f>_xlfn.DISPIMG("ID_CAFEA503AF144665922C4D183E2D96BA",1)</f>
        <v>=DISPIMG("ID_CAFEA503AF144665922C4D183E2D96BA",1)</v>
      </c>
      <c r="P102" s="46"/>
    </row>
    <row r="103" s="33" customFormat="1" ht="30" customHeight="1" spans="1:16">
      <c r="A103" s="23">
        <v>100</v>
      </c>
      <c r="B103" s="35">
        <v>21012026</v>
      </c>
      <c r="C103" s="35" t="s">
        <v>30</v>
      </c>
      <c r="D103" s="23">
        <v>60</v>
      </c>
      <c r="E103" s="23">
        <v>10.5</v>
      </c>
      <c r="F103" s="23">
        <v>0</v>
      </c>
      <c r="G103" s="23">
        <v>70.5</v>
      </c>
      <c r="H103" s="23">
        <f t="shared" si="3"/>
        <v>14.1</v>
      </c>
      <c r="I103" s="15">
        <v>18</v>
      </c>
      <c r="J103" s="51" t="s">
        <v>454</v>
      </c>
      <c r="K103" s="52"/>
      <c r="L103" s="52"/>
      <c r="M103" s="52"/>
      <c r="N103" s="52"/>
      <c r="O103" s="17" t="str">
        <f>_xlfn.DISPIMG("ID_175BC80E5D244DEA8E89C69806690501",1)</f>
        <v>=DISPIMG("ID_175BC80E5D244DEA8E89C69806690501",1)</v>
      </c>
      <c r="P103" s="46"/>
    </row>
    <row r="104" s="33" customFormat="1" ht="30" customHeight="1" spans="1:16">
      <c r="A104" s="23">
        <v>101</v>
      </c>
      <c r="B104" s="35">
        <v>21012029</v>
      </c>
      <c r="C104" s="35" t="s">
        <v>46</v>
      </c>
      <c r="D104" s="23">
        <v>60</v>
      </c>
      <c r="E104" s="23">
        <v>6</v>
      </c>
      <c r="F104" s="23">
        <v>0</v>
      </c>
      <c r="G104" s="23">
        <v>66</v>
      </c>
      <c r="H104" s="23">
        <f t="shared" si="3"/>
        <v>13.2</v>
      </c>
      <c r="I104" s="15">
        <v>36</v>
      </c>
      <c r="J104" s="44" t="s">
        <v>455</v>
      </c>
      <c r="K104" s="52"/>
      <c r="L104" s="52"/>
      <c r="M104" s="52"/>
      <c r="N104" s="52"/>
      <c r="O104" s="17" t="str">
        <f>_xlfn.DISPIMG("ID_ECD49A0479BE4A9EBA14814787668E30",1)</f>
        <v>=DISPIMG("ID_ECD49A0479BE4A9EBA14814787668E30",1)</v>
      </c>
      <c r="P104" s="46"/>
    </row>
    <row r="105" s="33" customFormat="1" ht="30" customHeight="1" spans="1:16">
      <c r="A105" s="23">
        <v>102</v>
      </c>
      <c r="B105" s="35">
        <v>21012037</v>
      </c>
      <c r="C105" s="35" t="s">
        <v>88</v>
      </c>
      <c r="D105" s="23">
        <v>60</v>
      </c>
      <c r="E105" s="23">
        <v>8.5</v>
      </c>
      <c r="F105" s="23">
        <v>0</v>
      </c>
      <c r="G105" s="23">
        <v>68.5</v>
      </c>
      <c r="H105" s="23">
        <f t="shared" si="3"/>
        <v>13.7</v>
      </c>
      <c r="I105" s="15">
        <v>27</v>
      </c>
      <c r="J105" s="44" t="s">
        <v>456</v>
      </c>
      <c r="K105" s="52"/>
      <c r="L105" s="52"/>
      <c r="M105" s="52"/>
      <c r="N105" s="52"/>
      <c r="O105" s="17" t="str">
        <f>_xlfn.DISPIMG("ID_C796B9D6D56746DB9129A3CFAEB4C426",1)</f>
        <v>=DISPIMG("ID_C796B9D6D56746DB9129A3CFAEB4C426",1)</v>
      </c>
      <c r="P105" s="46"/>
    </row>
    <row r="106" s="33" customFormat="1" ht="30" customHeight="1" spans="1:16">
      <c r="A106" s="23">
        <v>103</v>
      </c>
      <c r="B106" s="35">
        <v>21012040</v>
      </c>
      <c r="C106" s="35" t="s">
        <v>269</v>
      </c>
      <c r="D106" s="23">
        <v>60</v>
      </c>
      <c r="E106" s="23">
        <v>2</v>
      </c>
      <c r="F106" s="23">
        <v>0</v>
      </c>
      <c r="G106" s="23">
        <v>62</v>
      </c>
      <c r="H106" s="23">
        <f t="shared" si="3"/>
        <v>12.4</v>
      </c>
      <c r="I106" s="15">
        <v>85</v>
      </c>
      <c r="J106" s="52" t="s">
        <v>457</v>
      </c>
      <c r="K106" s="52"/>
      <c r="L106" s="52"/>
      <c r="M106" s="52"/>
      <c r="N106" s="52"/>
      <c r="O106" s="17" t="str">
        <f>_xlfn.DISPIMG("ID_B59E3BB764504FCCA5BDB03D0B8EB06E",1)</f>
        <v>=DISPIMG("ID_B59E3BB764504FCCA5BDB03D0B8EB06E",1)</v>
      </c>
      <c r="P106" s="46"/>
    </row>
    <row r="107" s="33" customFormat="1" ht="30" customHeight="1" spans="1:16">
      <c r="A107" s="23">
        <v>104</v>
      </c>
      <c r="B107" s="35">
        <v>21012047</v>
      </c>
      <c r="C107" s="35" t="s">
        <v>306</v>
      </c>
      <c r="D107" s="23">
        <v>60</v>
      </c>
      <c r="E107" s="23">
        <v>0</v>
      </c>
      <c r="F107" s="23">
        <v>0</v>
      </c>
      <c r="G107" s="23">
        <v>60</v>
      </c>
      <c r="H107" s="23">
        <f t="shared" si="3"/>
        <v>12</v>
      </c>
      <c r="I107" s="15">
        <v>124</v>
      </c>
      <c r="J107" s="35"/>
      <c r="K107" s="35"/>
      <c r="L107" s="35"/>
      <c r="M107" s="35"/>
      <c r="N107" s="35"/>
      <c r="O107" s="17" t="str">
        <f>_xlfn.DISPIMG("ID_DBF44D1DAE9E4AF08EE756ACCDB3D85A",1)</f>
        <v>=DISPIMG("ID_DBF44D1DAE9E4AF08EE756ACCDB3D85A",1)</v>
      </c>
      <c r="P107" s="46"/>
    </row>
    <row r="108" s="33" customFormat="1" ht="30" customHeight="1" spans="1:16">
      <c r="A108" s="23">
        <v>105</v>
      </c>
      <c r="B108" s="35">
        <v>21012050</v>
      </c>
      <c r="C108" s="35" t="s">
        <v>282</v>
      </c>
      <c r="D108" s="23">
        <v>60</v>
      </c>
      <c r="E108" s="23">
        <v>0</v>
      </c>
      <c r="F108" s="23">
        <v>0</v>
      </c>
      <c r="G108" s="23">
        <v>60</v>
      </c>
      <c r="H108" s="23">
        <f t="shared" si="3"/>
        <v>12</v>
      </c>
      <c r="I108" s="15">
        <v>124</v>
      </c>
      <c r="J108" s="35"/>
      <c r="K108" s="35"/>
      <c r="L108" s="35"/>
      <c r="M108" s="35"/>
      <c r="N108" s="35"/>
      <c r="O108" s="17" t="str">
        <f>_xlfn.DISPIMG("ID_7450C870FD8D4066BC3A8EEF5A09FD68",1)</f>
        <v>=DISPIMG("ID_7450C870FD8D4066BC3A8EEF5A09FD68",1)</v>
      </c>
      <c r="P108" s="46"/>
    </row>
    <row r="109" s="33" customFormat="1" ht="30" customHeight="1" spans="1:16">
      <c r="A109" s="23">
        <v>106</v>
      </c>
      <c r="B109" s="35">
        <v>21012058</v>
      </c>
      <c r="C109" s="35" t="s">
        <v>246</v>
      </c>
      <c r="D109" s="23">
        <v>60</v>
      </c>
      <c r="E109" s="23">
        <v>2</v>
      </c>
      <c r="F109" s="23">
        <v>0</v>
      </c>
      <c r="G109" s="23">
        <v>62</v>
      </c>
      <c r="H109" s="23">
        <f t="shared" si="3"/>
        <v>12.4</v>
      </c>
      <c r="I109" s="15">
        <v>85</v>
      </c>
      <c r="J109" s="52" t="s">
        <v>458</v>
      </c>
      <c r="K109" s="52"/>
      <c r="L109" s="52"/>
      <c r="M109" s="52"/>
      <c r="N109" s="52"/>
      <c r="O109" s="17" t="str">
        <f>_xlfn.DISPIMG("ID_CB16E147D4A4458AAC9B9E42A98B4F60",1)</f>
        <v>=DISPIMG("ID_CB16E147D4A4458AAC9B9E42A98B4F60",1)</v>
      </c>
      <c r="P109" s="46"/>
    </row>
    <row r="110" s="33" customFormat="1" ht="30" customHeight="1" spans="1:16">
      <c r="A110" s="23">
        <v>107</v>
      </c>
      <c r="B110" s="35">
        <v>21012061</v>
      </c>
      <c r="C110" s="35" t="s">
        <v>243</v>
      </c>
      <c r="D110" s="23">
        <v>60</v>
      </c>
      <c r="E110" s="23">
        <v>4</v>
      </c>
      <c r="F110" s="23">
        <v>0</v>
      </c>
      <c r="G110" s="23">
        <v>64</v>
      </c>
      <c r="H110" s="23">
        <f t="shared" si="3"/>
        <v>12.8</v>
      </c>
      <c r="I110" s="15">
        <v>48</v>
      </c>
      <c r="J110" s="51" t="s">
        <v>459</v>
      </c>
      <c r="K110" s="51"/>
      <c r="L110" s="51"/>
      <c r="M110" s="51"/>
      <c r="N110" s="51"/>
      <c r="O110" s="17" t="str">
        <f>_xlfn.DISPIMG("ID_55EB950D551E4CB4A91898872C5A3472",1)</f>
        <v>=DISPIMG("ID_55EB950D551E4CB4A91898872C5A3472",1)</v>
      </c>
      <c r="P110" s="46"/>
    </row>
    <row r="111" s="33" customFormat="1" ht="30" customHeight="1" spans="1:16">
      <c r="A111" s="23">
        <v>108</v>
      </c>
      <c r="B111" s="35">
        <v>21012069</v>
      </c>
      <c r="C111" s="35" t="s">
        <v>127</v>
      </c>
      <c r="D111" s="23">
        <v>60</v>
      </c>
      <c r="E111" s="23">
        <v>2.5</v>
      </c>
      <c r="F111" s="23">
        <v>0</v>
      </c>
      <c r="G111" s="23">
        <v>62.5</v>
      </c>
      <c r="H111" s="23">
        <f t="shared" si="3"/>
        <v>12.5</v>
      </c>
      <c r="I111" s="15">
        <v>79</v>
      </c>
      <c r="J111" s="44" t="s">
        <v>460</v>
      </c>
      <c r="K111" s="44"/>
      <c r="L111" s="44"/>
      <c r="M111" s="44"/>
      <c r="N111" s="44"/>
      <c r="O111" s="17" t="str">
        <f>_xlfn.DISPIMG("ID_57EB71BD5653469AB53E9E5DABE76D29",1)</f>
        <v>=DISPIMG("ID_57EB71BD5653469AB53E9E5DABE76D29",1)</v>
      </c>
      <c r="P111" s="46"/>
    </row>
    <row r="112" s="33" customFormat="1" ht="30" customHeight="1" spans="1:16">
      <c r="A112" s="23">
        <v>109</v>
      </c>
      <c r="B112" s="35">
        <v>21012073</v>
      </c>
      <c r="C112" s="35" t="s">
        <v>111</v>
      </c>
      <c r="D112" s="23">
        <v>60</v>
      </c>
      <c r="E112" s="23">
        <v>3</v>
      </c>
      <c r="F112" s="23">
        <v>0</v>
      </c>
      <c r="G112" s="23">
        <v>63</v>
      </c>
      <c r="H112" s="23">
        <f t="shared" si="3"/>
        <v>12.6</v>
      </c>
      <c r="I112" s="15">
        <v>77</v>
      </c>
      <c r="J112" s="51" t="s">
        <v>461</v>
      </c>
      <c r="K112" s="51"/>
      <c r="L112" s="51"/>
      <c r="M112" s="51"/>
      <c r="N112" s="51"/>
      <c r="O112" s="17" t="str">
        <f>_xlfn.DISPIMG("ID_60868A461C5C4ABFAAD8E77119EC4B7D",1)</f>
        <v>=DISPIMG("ID_60868A461C5C4ABFAAD8E77119EC4B7D",1)</v>
      </c>
      <c r="P112" s="46"/>
    </row>
    <row r="113" s="33" customFormat="1" ht="30" customHeight="1" spans="1:16">
      <c r="A113" s="23">
        <v>110</v>
      </c>
      <c r="B113" s="35">
        <v>21012082</v>
      </c>
      <c r="C113" s="35" t="s">
        <v>84</v>
      </c>
      <c r="D113" s="23">
        <v>60</v>
      </c>
      <c r="E113" s="23">
        <v>2.5</v>
      </c>
      <c r="F113" s="23">
        <v>0</v>
      </c>
      <c r="G113" s="23">
        <v>62.5</v>
      </c>
      <c r="H113" s="23">
        <f t="shared" si="3"/>
        <v>12.5</v>
      </c>
      <c r="I113" s="15">
        <v>79</v>
      </c>
      <c r="J113" s="51" t="s">
        <v>462</v>
      </c>
      <c r="K113" s="52"/>
      <c r="L113" s="52"/>
      <c r="M113" s="52"/>
      <c r="N113" s="52"/>
      <c r="O113" s="17" t="str">
        <f>_xlfn.DISPIMG("ID_5204E82EA48A4166A42CB546D0CE922F",1)</f>
        <v>=DISPIMG("ID_5204E82EA48A4166A42CB546D0CE922F",1)</v>
      </c>
      <c r="P113" s="46"/>
    </row>
    <row r="114" s="33" customFormat="1" ht="30" customHeight="1" spans="1:16">
      <c r="A114" s="23">
        <v>111</v>
      </c>
      <c r="B114" s="35">
        <v>21012085</v>
      </c>
      <c r="C114" s="35" t="s">
        <v>132</v>
      </c>
      <c r="D114" s="23">
        <v>60</v>
      </c>
      <c r="E114" s="23">
        <v>4.5</v>
      </c>
      <c r="F114" s="23">
        <v>0</v>
      </c>
      <c r="G114" s="23">
        <v>64.5</v>
      </c>
      <c r="H114" s="23">
        <f t="shared" si="3"/>
        <v>12.9</v>
      </c>
      <c r="I114" s="15">
        <v>45</v>
      </c>
      <c r="J114" s="44" t="s">
        <v>463</v>
      </c>
      <c r="K114" s="44"/>
      <c r="L114" s="44"/>
      <c r="M114" s="44"/>
      <c r="N114" s="44"/>
      <c r="O114" s="17" t="str">
        <f>_xlfn.DISPIMG("ID_B76FEFD76EAD48FEA3C0821A15C75F91",1)</f>
        <v>=DISPIMG("ID_B76FEFD76EAD48FEA3C0821A15C75F91",1)</v>
      </c>
      <c r="P114" s="46"/>
    </row>
    <row r="115" s="33" customFormat="1" ht="30" customHeight="1" spans="1:16">
      <c r="A115" s="23">
        <v>112</v>
      </c>
      <c r="B115" s="35">
        <v>21012094</v>
      </c>
      <c r="C115" s="35" t="s">
        <v>292</v>
      </c>
      <c r="D115" s="23">
        <v>60</v>
      </c>
      <c r="E115" s="23">
        <v>4</v>
      </c>
      <c r="F115" s="23">
        <v>0</v>
      </c>
      <c r="G115" s="23">
        <v>64</v>
      </c>
      <c r="H115" s="23">
        <f t="shared" si="3"/>
        <v>12.8</v>
      </c>
      <c r="I115" s="15">
        <v>48</v>
      </c>
      <c r="J115" s="52" t="s">
        <v>464</v>
      </c>
      <c r="K115" s="52"/>
      <c r="L115" s="52"/>
      <c r="M115" s="52"/>
      <c r="N115" s="52"/>
      <c r="O115" s="3" t="str">
        <f>_xlfn.DISPIMG("ID_500ED8D9C99243A3AFCEBCFC46B75CC6",1)</f>
        <v>=DISPIMG("ID_500ED8D9C99243A3AFCEBCFC46B75CC6",1)</v>
      </c>
      <c r="P115" s="46"/>
    </row>
    <row r="116" s="33" customFormat="1" ht="30" customHeight="1" spans="1:16">
      <c r="A116" s="23">
        <v>113</v>
      </c>
      <c r="B116" s="35">
        <v>21012098</v>
      </c>
      <c r="C116" s="35" t="s">
        <v>139</v>
      </c>
      <c r="D116" s="23">
        <v>60</v>
      </c>
      <c r="E116" s="23">
        <v>0</v>
      </c>
      <c r="F116" s="23">
        <v>0</v>
      </c>
      <c r="G116" s="23">
        <v>60</v>
      </c>
      <c r="H116" s="23">
        <f t="shared" si="3"/>
        <v>12</v>
      </c>
      <c r="I116" s="15">
        <v>124</v>
      </c>
      <c r="J116" s="35"/>
      <c r="K116" s="35"/>
      <c r="L116" s="35"/>
      <c r="M116" s="35"/>
      <c r="N116" s="35"/>
      <c r="O116" s="17" t="str">
        <f>_xlfn.DISPIMG("ID_96914C482CBB43838837FFD5EF4963A3",1)</f>
        <v>=DISPIMG("ID_96914C482CBB43838837FFD5EF4963A3",1)</v>
      </c>
      <c r="P116" s="46"/>
    </row>
    <row r="117" s="33" customFormat="1" ht="30" customHeight="1" spans="1:16">
      <c r="A117" s="23">
        <v>114</v>
      </c>
      <c r="B117" s="35">
        <v>21012105</v>
      </c>
      <c r="C117" s="35" t="s">
        <v>74</v>
      </c>
      <c r="D117" s="23">
        <v>60</v>
      </c>
      <c r="E117" s="23">
        <v>6</v>
      </c>
      <c r="F117" s="23">
        <v>0</v>
      </c>
      <c r="G117" s="23">
        <v>66</v>
      </c>
      <c r="H117" s="23">
        <f t="shared" si="3"/>
        <v>13.2</v>
      </c>
      <c r="I117" s="15">
        <v>36</v>
      </c>
      <c r="J117" s="51" t="s">
        <v>465</v>
      </c>
      <c r="K117" s="52"/>
      <c r="L117" s="52"/>
      <c r="M117" s="52"/>
      <c r="N117" s="52"/>
      <c r="O117" s="17" t="str">
        <f>_xlfn.DISPIMG("ID_7BA27B6234F54784B444E7D01D11D62E",1)</f>
        <v>=DISPIMG("ID_7BA27B6234F54784B444E7D01D11D62E",1)</v>
      </c>
      <c r="P117" s="46"/>
    </row>
    <row r="118" s="33" customFormat="1" ht="30" customHeight="1" spans="1:16">
      <c r="A118" s="23">
        <v>115</v>
      </c>
      <c r="B118" s="35">
        <v>21012108</v>
      </c>
      <c r="C118" s="35" t="s">
        <v>38</v>
      </c>
      <c r="D118" s="23">
        <v>60</v>
      </c>
      <c r="E118" s="23">
        <v>15.5</v>
      </c>
      <c r="F118" s="23">
        <v>0</v>
      </c>
      <c r="G118" s="23">
        <v>75.5</v>
      </c>
      <c r="H118" s="23">
        <f t="shared" si="3"/>
        <v>15.1</v>
      </c>
      <c r="I118" s="15">
        <v>11</v>
      </c>
      <c r="J118" s="44" t="s">
        <v>466</v>
      </c>
      <c r="K118" s="44"/>
      <c r="L118" s="44"/>
      <c r="M118" s="44"/>
      <c r="N118" s="44"/>
      <c r="O118" s="17" t="str">
        <f>_xlfn.DISPIMG("ID_0FAEE720185142ACA4D0BEFBC4494BDE",1)</f>
        <v>=DISPIMG("ID_0FAEE720185142ACA4D0BEFBC4494BDE",1)</v>
      </c>
      <c r="P118" s="46"/>
    </row>
    <row r="119" s="33" customFormat="1" ht="30" customHeight="1" spans="1:16">
      <c r="A119" s="23">
        <v>116</v>
      </c>
      <c r="B119" s="35">
        <v>21012119</v>
      </c>
      <c r="C119" s="35" t="s">
        <v>300</v>
      </c>
      <c r="D119" s="23">
        <v>60</v>
      </c>
      <c r="E119" s="23">
        <v>0</v>
      </c>
      <c r="F119" s="23">
        <v>0</v>
      </c>
      <c r="G119" s="23">
        <v>60</v>
      </c>
      <c r="H119" s="23">
        <f t="shared" si="3"/>
        <v>12</v>
      </c>
      <c r="I119" s="15">
        <v>124</v>
      </c>
      <c r="J119" s="35"/>
      <c r="K119" s="35"/>
      <c r="L119" s="35"/>
      <c r="M119" s="35"/>
      <c r="N119" s="35"/>
      <c r="O119" s="17" t="str">
        <f>_xlfn.DISPIMG("ID_BBF7E13BF54F45FABF255710FA4537C1",1)</f>
        <v>=DISPIMG("ID_BBF7E13BF54F45FABF255710FA4537C1",1)</v>
      </c>
      <c r="P119" s="46"/>
    </row>
    <row r="120" s="33" customFormat="1" ht="30" customHeight="1" spans="1:16">
      <c r="A120" s="23">
        <v>117</v>
      </c>
      <c r="B120" s="35">
        <v>21012122</v>
      </c>
      <c r="C120" s="35" t="s">
        <v>72</v>
      </c>
      <c r="D120" s="23">
        <v>60</v>
      </c>
      <c r="E120" s="23">
        <v>3.5</v>
      </c>
      <c r="F120" s="23">
        <v>0</v>
      </c>
      <c r="G120" s="23">
        <v>63.5</v>
      </c>
      <c r="H120" s="23">
        <f t="shared" si="3"/>
        <v>12.7</v>
      </c>
      <c r="I120" s="15">
        <v>74</v>
      </c>
      <c r="J120" s="53" t="s">
        <v>467</v>
      </c>
      <c r="K120" s="53"/>
      <c r="L120" s="53"/>
      <c r="M120" s="53"/>
      <c r="N120" s="53"/>
      <c r="O120" s="17" t="str">
        <f>_xlfn.DISPIMG("ID_67A5A10BE2D94EE585CD9A6B36F1FEB5",1)</f>
        <v>=DISPIMG("ID_67A5A10BE2D94EE585CD9A6B36F1FEB5",1)</v>
      </c>
      <c r="P120" s="46"/>
    </row>
    <row r="121" s="33" customFormat="1" ht="30" customHeight="1" spans="1:16">
      <c r="A121" s="23">
        <v>118</v>
      </c>
      <c r="B121" s="35">
        <v>21012055</v>
      </c>
      <c r="C121" s="35" t="s">
        <v>298</v>
      </c>
      <c r="D121" s="23">
        <v>60</v>
      </c>
      <c r="E121" s="23">
        <v>2</v>
      </c>
      <c r="F121" s="23">
        <v>0</v>
      </c>
      <c r="G121" s="23">
        <v>62</v>
      </c>
      <c r="H121" s="23">
        <f t="shared" si="3"/>
        <v>12.4</v>
      </c>
      <c r="I121" s="15">
        <v>85</v>
      </c>
      <c r="J121" s="35" t="s">
        <v>468</v>
      </c>
      <c r="K121" s="35"/>
      <c r="L121" s="35"/>
      <c r="M121" s="35"/>
      <c r="N121" s="35"/>
      <c r="O121" s="17" t="str">
        <f>_xlfn.DISPIMG("ID_05E1DA1505184721882936F8B2CF859E",1)</f>
        <v>=DISPIMG("ID_05E1DA1505184721882936F8B2CF859E",1)</v>
      </c>
      <c r="P121" s="46"/>
    </row>
    <row r="122" s="33" customFormat="1" ht="30" customHeight="1" spans="1:16">
      <c r="A122" s="23">
        <v>119</v>
      </c>
      <c r="B122" s="35">
        <v>21012115</v>
      </c>
      <c r="C122" s="35" t="s">
        <v>296</v>
      </c>
      <c r="D122" s="23">
        <v>60</v>
      </c>
      <c r="E122" s="23">
        <v>2</v>
      </c>
      <c r="F122" s="23">
        <v>0</v>
      </c>
      <c r="G122" s="23">
        <v>62</v>
      </c>
      <c r="H122" s="23">
        <f t="shared" si="3"/>
        <v>12.4</v>
      </c>
      <c r="I122" s="15">
        <v>85</v>
      </c>
      <c r="J122" s="52" t="s">
        <v>407</v>
      </c>
      <c r="K122" s="52"/>
      <c r="L122" s="52"/>
      <c r="M122" s="52"/>
      <c r="N122" s="52"/>
      <c r="O122" s="17" t="str">
        <f>_xlfn.DISPIMG("ID_32B6224467F641CCA678F6D5ADB26DAA",1)</f>
        <v>=DISPIMG("ID_32B6224467F641CCA678F6D5ADB26DAA",1)</v>
      </c>
      <c r="P122" s="46"/>
    </row>
    <row r="123" s="33" customFormat="1" ht="30" customHeight="1" spans="1:16">
      <c r="A123" s="23">
        <v>120</v>
      </c>
      <c r="B123" s="35">
        <v>21012124</v>
      </c>
      <c r="C123" s="35" t="s">
        <v>103</v>
      </c>
      <c r="D123" s="23">
        <v>60</v>
      </c>
      <c r="E123" s="23">
        <v>4</v>
      </c>
      <c r="F123" s="23">
        <v>0</v>
      </c>
      <c r="G123" s="23">
        <v>64</v>
      </c>
      <c r="H123" s="23">
        <f t="shared" si="3"/>
        <v>12.8</v>
      </c>
      <c r="I123" s="15">
        <v>48</v>
      </c>
      <c r="J123" s="52" t="s">
        <v>447</v>
      </c>
      <c r="K123" s="52"/>
      <c r="L123" s="52"/>
      <c r="M123" s="52"/>
      <c r="N123" s="52"/>
      <c r="O123" s="17" t="str">
        <f>_xlfn.DISPIMG("ID_014EDCFFA2D844C192DC068E029AE4CD",1)</f>
        <v>=DISPIMG("ID_014EDCFFA2D844C192DC068E029AE4CD",1)</v>
      </c>
      <c r="P123" s="46"/>
    </row>
    <row r="124" s="33" customFormat="1" ht="30" customHeight="1" spans="1:16">
      <c r="A124" s="23">
        <v>121</v>
      </c>
      <c r="B124" s="35">
        <v>21012136</v>
      </c>
      <c r="C124" s="35" t="s">
        <v>66</v>
      </c>
      <c r="D124" s="23">
        <v>60</v>
      </c>
      <c r="E124" s="23">
        <v>3.5</v>
      </c>
      <c r="F124" s="23">
        <v>0</v>
      </c>
      <c r="G124" s="23">
        <v>63.5</v>
      </c>
      <c r="H124" s="23">
        <f t="shared" si="3"/>
        <v>12.7</v>
      </c>
      <c r="I124" s="15">
        <v>74</v>
      </c>
      <c r="J124" s="44" t="s">
        <v>469</v>
      </c>
      <c r="K124" s="44"/>
      <c r="L124" s="44"/>
      <c r="M124" s="44"/>
      <c r="N124" s="44"/>
      <c r="O124" s="17" t="str">
        <f>_xlfn.DISPIMG("ID_F1ED1C426B89404799C5B2E347325D7E",1)</f>
        <v>=DISPIMG("ID_F1ED1C426B89404799C5B2E347325D7E",1)</v>
      </c>
      <c r="P124" s="46"/>
    </row>
    <row r="125" s="33" customFormat="1" ht="30" customHeight="1" spans="1:16">
      <c r="A125" s="23">
        <v>122</v>
      </c>
      <c r="B125" s="35">
        <v>21012139</v>
      </c>
      <c r="C125" s="35" t="s">
        <v>80</v>
      </c>
      <c r="D125" s="23">
        <v>60</v>
      </c>
      <c r="E125" s="23">
        <v>9</v>
      </c>
      <c r="F125" s="23">
        <v>0</v>
      </c>
      <c r="G125" s="23">
        <v>69</v>
      </c>
      <c r="H125" s="23">
        <f t="shared" si="3"/>
        <v>13.8</v>
      </c>
      <c r="I125" s="15">
        <v>24</v>
      </c>
      <c r="J125" s="51" t="s">
        <v>470</v>
      </c>
      <c r="K125" s="51"/>
      <c r="L125" s="51"/>
      <c r="M125" s="51"/>
      <c r="N125" s="51"/>
      <c r="O125" s="17" t="str">
        <f>_xlfn.DISPIMG("ID_ACF98FED961B4FB08D4B625A97C629F8",1)</f>
        <v>=DISPIMG("ID_ACF98FED961B4FB08D4B625A97C629F8",1)</v>
      </c>
      <c r="P125" s="46"/>
    </row>
    <row r="126" s="33" customFormat="1" ht="30" customHeight="1" spans="1:16">
      <c r="A126" s="23">
        <v>123</v>
      </c>
      <c r="B126" s="35">
        <v>21012146</v>
      </c>
      <c r="C126" s="35" t="s">
        <v>250</v>
      </c>
      <c r="D126" s="23">
        <v>60</v>
      </c>
      <c r="E126" s="23">
        <v>4.5</v>
      </c>
      <c r="F126" s="23">
        <v>0</v>
      </c>
      <c r="G126" s="23">
        <v>64.5</v>
      </c>
      <c r="H126" s="23">
        <f t="shared" si="3"/>
        <v>12.9</v>
      </c>
      <c r="I126" s="15">
        <v>45</v>
      </c>
      <c r="J126" s="44" t="s">
        <v>471</v>
      </c>
      <c r="K126" s="35"/>
      <c r="L126" s="35"/>
      <c r="M126" s="35"/>
      <c r="N126" s="35"/>
      <c r="O126" s="17" t="str">
        <f>_xlfn.DISPIMG("ID_CD3E56EDC4AA4290A16CE18B393DABEA",1)</f>
        <v>=DISPIMG("ID_CD3E56EDC4AA4290A16CE18B393DABEA",1)</v>
      </c>
      <c r="P126" s="46"/>
    </row>
    <row r="127" s="33" customFormat="1" ht="30" customHeight="1" spans="1:16">
      <c r="A127" s="23">
        <v>124</v>
      </c>
      <c r="B127" s="35">
        <v>21012150</v>
      </c>
      <c r="C127" s="35" t="s">
        <v>159</v>
      </c>
      <c r="D127" s="23">
        <v>60</v>
      </c>
      <c r="E127" s="23">
        <v>3.5</v>
      </c>
      <c r="F127" s="23">
        <v>0</v>
      </c>
      <c r="G127" s="23">
        <v>63.5</v>
      </c>
      <c r="H127" s="23">
        <f t="shared" si="3"/>
        <v>12.7</v>
      </c>
      <c r="I127" s="15">
        <v>74</v>
      </c>
      <c r="J127" s="51" t="s">
        <v>472</v>
      </c>
      <c r="K127" s="52"/>
      <c r="L127" s="52"/>
      <c r="M127" s="52"/>
      <c r="N127" s="52"/>
      <c r="O127" s="26" t="str">
        <f>_xlfn.DISPIMG("ID_0B32136935114C05A43636435171931E",1)</f>
        <v>=DISPIMG("ID_0B32136935114C05A43636435171931E",1)</v>
      </c>
      <c r="P127" s="46"/>
    </row>
    <row r="128" s="33" customFormat="1" ht="30" customHeight="1" spans="1:16">
      <c r="A128" s="23">
        <v>125</v>
      </c>
      <c r="B128" s="35">
        <v>21012160</v>
      </c>
      <c r="C128" s="35" t="s">
        <v>294</v>
      </c>
      <c r="D128" s="23">
        <v>60</v>
      </c>
      <c r="E128" s="23">
        <v>0</v>
      </c>
      <c r="F128" s="23">
        <v>0</v>
      </c>
      <c r="G128" s="23">
        <v>60</v>
      </c>
      <c r="H128" s="23">
        <f t="shared" si="3"/>
        <v>12</v>
      </c>
      <c r="I128" s="15">
        <v>124</v>
      </c>
      <c r="J128" s="35"/>
      <c r="K128" s="35"/>
      <c r="L128" s="35"/>
      <c r="M128" s="35"/>
      <c r="N128" s="35"/>
      <c r="O128" s="17" t="str">
        <f>_xlfn.DISPIMG("ID_8BCBBEDE58EB4BCDA47C8E43B9BBD399",1)</f>
        <v>=DISPIMG("ID_8BCBBEDE58EB4BCDA47C8E43B9BBD399",1)</v>
      </c>
      <c r="P128" s="46"/>
    </row>
    <row r="129" s="33" customFormat="1" ht="30" customHeight="1" spans="1:16">
      <c r="A129" s="23">
        <v>126</v>
      </c>
      <c r="B129" s="35">
        <v>21012006</v>
      </c>
      <c r="C129" s="35" t="s">
        <v>125</v>
      </c>
      <c r="D129" s="23">
        <v>60</v>
      </c>
      <c r="E129" s="23">
        <v>4</v>
      </c>
      <c r="F129" s="23">
        <v>0</v>
      </c>
      <c r="G129" s="23">
        <v>64</v>
      </c>
      <c r="H129" s="23">
        <f t="shared" si="3"/>
        <v>12.8</v>
      </c>
      <c r="I129" s="15">
        <v>48</v>
      </c>
      <c r="J129" s="44" t="s">
        <v>473</v>
      </c>
      <c r="K129" s="44"/>
      <c r="L129" s="44"/>
      <c r="M129" s="44"/>
      <c r="N129" s="44"/>
      <c r="O129" s="17" t="str">
        <f>_xlfn.DISPIMG("ID_97041EC4336E4DFFA0842892CEEBB625",1)</f>
        <v>=DISPIMG("ID_97041EC4336E4DFFA0842892CEEBB625",1)</v>
      </c>
      <c r="P129" s="46"/>
    </row>
    <row r="130" s="33" customFormat="1" ht="30" customHeight="1" spans="1:16">
      <c r="A130" s="23">
        <v>127</v>
      </c>
      <c r="B130" s="35">
        <v>21012007</v>
      </c>
      <c r="C130" s="35" t="s">
        <v>21</v>
      </c>
      <c r="D130" s="23">
        <v>60</v>
      </c>
      <c r="E130" s="23">
        <v>40</v>
      </c>
      <c r="F130" s="23">
        <v>0</v>
      </c>
      <c r="G130" s="23">
        <v>100</v>
      </c>
      <c r="H130" s="23">
        <f t="shared" si="3"/>
        <v>20</v>
      </c>
      <c r="I130" s="15">
        <v>1</v>
      </c>
      <c r="J130" s="44" t="s">
        <v>474</v>
      </c>
      <c r="K130" s="44"/>
      <c r="L130" s="44"/>
      <c r="M130" s="44"/>
      <c r="N130" s="44"/>
      <c r="O130" s="17" t="str">
        <f>_xlfn.DISPIMG("ID_6F52D634E07148B593CEE84254D5B55F",1)</f>
        <v>=DISPIMG("ID_6F52D634E07148B593CEE84254D5B55F",1)</v>
      </c>
      <c r="P130" s="46"/>
    </row>
    <row r="131" s="33" customFormat="1" ht="30" customHeight="1" spans="1:16">
      <c r="A131" s="23">
        <v>128</v>
      </c>
      <c r="B131" s="35">
        <v>21012016</v>
      </c>
      <c r="C131" s="35" t="s">
        <v>32</v>
      </c>
      <c r="D131" s="23">
        <v>60</v>
      </c>
      <c r="E131" s="23">
        <v>13.5</v>
      </c>
      <c r="F131" s="23">
        <v>0</v>
      </c>
      <c r="G131" s="23">
        <v>73.5</v>
      </c>
      <c r="H131" s="23">
        <f t="shared" si="3"/>
        <v>14.7</v>
      </c>
      <c r="I131" s="15">
        <v>14</v>
      </c>
      <c r="J131" s="44" t="s">
        <v>475</v>
      </c>
      <c r="K131" s="44"/>
      <c r="L131" s="44"/>
      <c r="M131" s="44"/>
      <c r="N131" s="44"/>
      <c r="O131" s="17" t="str">
        <f>_xlfn.DISPIMG("ID_834E695137D140089BCC10E679785AF6",1)</f>
        <v>=DISPIMG("ID_834E695137D140089BCC10E679785AF6",1)</v>
      </c>
      <c r="P131" s="46"/>
    </row>
    <row r="132" s="33" customFormat="1" ht="30" customHeight="1" spans="1:16">
      <c r="A132" s="23">
        <v>129</v>
      </c>
      <c r="B132" s="35">
        <v>21012017</v>
      </c>
      <c r="C132" s="35" t="s">
        <v>99</v>
      </c>
      <c r="D132" s="23">
        <v>60</v>
      </c>
      <c r="E132" s="23">
        <v>8</v>
      </c>
      <c r="F132" s="23">
        <v>0</v>
      </c>
      <c r="G132" s="23">
        <v>68</v>
      </c>
      <c r="H132" s="23">
        <f t="shared" ref="H132:H160" si="4">G132*0.2</f>
        <v>13.6</v>
      </c>
      <c r="I132" s="15">
        <v>28</v>
      </c>
      <c r="J132" s="44" t="s">
        <v>476</v>
      </c>
      <c r="K132" s="44"/>
      <c r="L132" s="44"/>
      <c r="M132" s="44"/>
      <c r="N132" s="44"/>
      <c r="O132" s="17" t="str">
        <f>_xlfn.DISPIMG("ID_9C1F97DF6C4D4952837F3E3F3973CB0A",1)</f>
        <v>=DISPIMG("ID_9C1F97DF6C4D4952837F3E3F3973CB0A",1)</v>
      </c>
      <c r="P132" s="46"/>
    </row>
    <row r="133" s="33" customFormat="1" ht="30" customHeight="1" spans="1:16">
      <c r="A133" s="23">
        <v>130</v>
      </c>
      <c r="B133" s="35">
        <v>21012027</v>
      </c>
      <c r="C133" s="35" t="s">
        <v>236</v>
      </c>
      <c r="D133" s="23">
        <v>60</v>
      </c>
      <c r="E133" s="23">
        <v>4</v>
      </c>
      <c r="F133" s="23">
        <v>0</v>
      </c>
      <c r="G133" s="23">
        <v>64</v>
      </c>
      <c r="H133" s="23">
        <f t="shared" si="4"/>
        <v>12.8</v>
      </c>
      <c r="I133" s="15">
        <v>48</v>
      </c>
      <c r="J133" s="44" t="s">
        <v>477</v>
      </c>
      <c r="K133" s="44"/>
      <c r="L133" s="44"/>
      <c r="M133" s="44"/>
      <c r="N133" s="44"/>
      <c r="O133" s="17" t="str">
        <f>_xlfn.DISPIMG("ID_8EBB7600C91D40EBBE2509E8CBE2077B",1)</f>
        <v>=DISPIMG("ID_8EBB7600C91D40EBBE2509E8CBE2077B",1)</v>
      </c>
      <c r="P133" s="46"/>
    </row>
    <row r="134" s="33" customFormat="1" ht="30" customHeight="1" spans="1:16">
      <c r="A134" s="23">
        <v>131</v>
      </c>
      <c r="B134" s="35">
        <v>21012028</v>
      </c>
      <c r="C134" s="35" t="s">
        <v>60</v>
      </c>
      <c r="D134" s="23">
        <v>60</v>
      </c>
      <c r="E134" s="23">
        <v>11</v>
      </c>
      <c r="F134" s="23">
        <v>0</v>
      </c>
      <c r="G134" s="23">
        <v>71</v>
      </c>
      <c r="H134" s="23">
        <f t="shared" si="4"/>
        <v>14.2</v>
      </c>
      <c r="I134" s="15">
        <v>17</v>
      </c>
      <c r="J134" s="44" t="s">
        <v>478</v>
      </c>
      <c r="K134" s="44"/>
      <c r="L134" s="44"/>
      <c r="M134" s="44"/>
      <c r="N134" s="44"/>
      <c r="O134" s="17" t="str">
        <f>_xlfn.DISPIMG("ID_6B1D743D192B4931A070D23A4B692881",1)</f>
        <v>=DISPIMG("ID_6B1D743D192B4931A070D23A4B692881",1)</v>
      </c>
      <c r="P134" s="46"/>
    </row>
    <row r="135" s="33" customFormat="1" ht="30" customHeight="1" spans="1:16">
      <c r="A135" s="23">
        <v>132</v>
      </c>
      <c r="B135" s="35">
        <v>21012038</v>
      </c>
      <c r="C135" s="35" t="s">
        <v>98</v>
      </c>
      <c r="D135" s="23">
        <v>60</v>
      </c>
      <c r="E135" s="23">
        <v>4</v>
      </c>
      <c r="F135" s="23">
        <v>0</v>
      </c>
      <c r="G135" s="23">
        <v>64</v>
      </c>
      <c r="H135" s="23">
        <f t="shared" si="4"/>
        <v>12.8</v>
      </c>
      <c r="I135" s="15">
        <v>48</v>
      </c>
      <c r="J135" s="44" t="s">
        <v>477</v>
      </c>
      <c r="K135" s="44"/>
      <c r="L135" s="44"/>
      <c r="M135" s="44"/>
      <c r="N135" s="44"/>
      <c r="O135" s="17" t="str">
        <f>_xlfn.DISPIMG("ID_3AC61EBA796C421E9122E743B2D2CA5A",1)</f>
        <v>=DISPIMG("ID_3AC61EBA796C421E9122E743B2D2CA5A",1)</v>
      </c>
      <c r="P135" s="46"/>
    </row>
    <row r="136" s="33" customFormat="1" ht="30" customHeight="1" spans="1:16">
      <c r="A136" s="23">
        <v>133</v>
      </c>
      <c r="B136" s="35">
        <v>21012039</v>
      </c>
      <c r="C136" s="35" t="s">
        <v>133</v>
      </c>
      <c r="D136" s="23">
        <v>60</v>
      </c>
      <c r="E136" s="23">
        <v>10</v>
      </c>
      <c r="F136" s="23">
        <v>0</v>
      </c>
      <c r="G136" s="23">
        <v>70</v>
      </c>
      <c r="H136" s="23">
        <f t="shared" si="4"/>
        <v>14</v>
      </c>
      <c r="I136" s="15">
        <v>20</v>
      </c>
      <c r="J136" s="44" t="s">
        <v>479</v>
      </c>
      <c r="K136" s="44"/>
      <c r="L136" s="44"/>
      <c r="M136" s="44"/>
      <c r="N136" s="44"/>
      <c r="O136" s="17" t="str">
        <f>_xlfn.DISPIMG("ID_8E9C88800D8C47CC9A232867E5FF1A9F",1)</f>
        <v>=DISPIMG("ID_8E9C88800D8C47CC9A232867E5FF1A9F",1)</v>
      </c>
      <c r="P136" s="46"/>
    </row>
    <row r="137" s="33" customFormat="1" ht="30" customHeight="1" spans="1:16">
      <c r="A137" s="23">
        <v>134</v>
      </c>
      <c r="B137" s="35">
        <v>21012048</v>
      </c>
      <c r="C137" s="35" t="s">
        <v>225</v>
      </c>
      <c r="D137" s="23">
        <v>60</v>
      </c>
      <c r="E137" s="23">
        <v>4</v>
      </c>
      <c r="F137" s="23">
        <v>0</v>
      </c>
      <c r="G137" s="23">
        <v>64</v>
      </c>
      <c r="H137" s="23">
        <f t="shared" si="4"/>
        <v>12.8</v>
      </c>
      <c r="I137" s="15">
        <v>48</v>
      </c>
      <c r="J137" s="44" t="s">
        <v>477</v>
      </c>
      <c r="K137" s="44"/>
      <c r="L137" s="44"/>
      <c r="M137" s="44"/>
      <c r="N137" s="44"/>
      <c r="O137" s="17" t="str">
        <f>_xlfn.DISPIMG("ID_699949D1967A4F77AEBF54D184EF87B0",1)</f>
        <v>=DISPIMG("ID_699949D1967A4F77AEBF54D184EF87B0",1)</v>
      </c>
      <c r="P137" s="46"/>
    </row>
    <row r="138" s="33" customFormat="1" ht="30" customHeight="1" spans="1:16">
      <c r="A138" s="23">
        <v>135</v>
      </c>
      <c r="B138" s="35">
        <v>21012049</v>
      </c>
      <c r="C138" s="35" t="s">
        <v>203</v>
      </c>
      <c r="D138" s="23">
        <v>60</v>
      </c>
      <c r="E138" s="23">
        <v>4</v>
      </c>
      <c r="F138" s="23">
        <v>0</v>
      </c>
      <c r="G138" s="23">
        <v>64</v>
      </c>
      <c r="H138" s="23">
        <f t="shared" si="4"/>
        <v>12.8</v>
      </c>
      <c r="I138" s="15">
        <v>48</v>
      </c>
      <c r="J138" s="44" t="s">
        <v>480</v>
      </c>
      <c r="K138" s="44"/>
      <c r="L138" s="44"/>
      <c r="M138" s="44"/>
      <c r="N138" s="44"/>
      <c r="O138" s="17" t="str">
        <f>_xlfn.DISPIMG("ID_68BACA8D9B8E4B9D9C4ACC780415ABB8",1)</f>
        <v>=DISPIMG("ID_68BACA8D9B8E4B9D9C4ACC780415ABB8",1)</v>
      </c>
      <c r="P138" s="46"/>
    </row>
    <row r="139" s="33" customFormat="1" ht="30" customHeight="1" spans="1:16">
      <c r="A139" s="23">
        <v>136</v>
      </c>
      <c r="B139" s="35">
        <v>21012059</v>
      </c>
      <c r="C139" s="35" t="s">
        <v>161</v>
      </c>
      <c r="D139" s="23">
        <v>60</v>
      </c>
      <c r="E139" s="23">
        <v>4</v>
      </c>
      <c r="F139" s="23">
        <v>0</v>
      </c>
      <c r="G139" s="23">
        <v>64</v>
      </c>
      <c r="H139" s="23">
        <f t="shared" si="4"/>
        <v>12.8</v>
      </c>
      <c r="I139" s="15">
        <v>48</v>
      </c>
      <c r="J139" s="44" t="s">
        <v>477</v>
      </c>
      <c r="K139" s="44"/>
      <c r="L139" s="44"/>
      <c r="M139" s="44"/>
      <c r="N139" s="44"/>
      <c r="O139" s="17" t="str">
        <f>_xlfn.DISPIMG("ID_9E1CFBB528B546C9846D8AD12FBDCB51",1)</f>
        <v>=DISPIMG("ID_9E1CFBB528B546C9846D8AD12FBDCB51",1)</v>
      </c>
      <c r="P139" s="46"/>
    </row>
    <row r="140" s="33" customFormat="1" ht="30" customHeight="1" spans="1:16">
      <c r="A140" s="23">
        <v>137</v>
      </c>
      <c r="B140" s="35">
        <v>21012060</v>
      </c>
      <c r="C140" s="35" t="s">
        <v>145</v>
      </c>
      <c r="D140" s="23">
        <v>60</v>
      </c>
      <c r="E140" s="23">
        <v>4</v>
      </c>
      <c r="F140" s="23">
        <v>0</v>
      </c>
      <c r="G140" s="23">
        <v>64</v>
      </c>
      <c r="H140" s="23">
        <f t="shared" si="4"/>
        <v>12.8</v>
      </c>
      <c r="I140" s="15">
        <v>48</v>
      </c>
      <c r="J140" s="44" t="s">
        <v>477</v>
      </c>
      <c r="K140" s="44"/>
      <c r="L140" s="44"/>
      <c r="M140" s="44"/>
      <c r="N140" s="44"/>
      <c r="O140" s="17" t="str">
        <f>_xlfn.DISPIMG("ID_DCA1B280B89C43D3938A8CF1746FD163",1)</f>
        <v>=DISPIMG("ID_DCA1B280B89C43D3938A8CF1746FD163",1)</v>
      </c>
      <c r="P140" s="46"/>
    </row>
    <row r="141" s="33" customFormat="1" ht="30" customHeight="1" spans="1:16">
      <c r="A141" s="23">
        <v>138</v>
      </c>
      <c r="B141" s="35">
        <v>21012071</v>
      </c>
      <c r="C141" s="35" t="s">
        <v>18</v>
      </c>
      <c r="D141" s="23">
        <v>60</v>
      </c>
      <c r="E141" s="23">
        <v>39</v>
      </c>
      <c r="F141" s="23">
        <v>0</v>
      </c>
      <c r="G141" s="23">
        <v>99</v>
      </c>
      <c r="H141" s="23">
        <f t="shared" si="4"/>
        <v>19.8</v>
      </c>
      <c r="I141" s="15">
        <v>3</v>
      </c>
      <c r="J141" s="44" t="s">
        <v>481</v>
      </c>
      <c r="K141" s="44"/>
      <c r="L141" s="44"/>
      <c r="M141" s="44"/>
      <c r="N141" s="44"/>
      <c r="O141" s="17" t="str">
        <f>_xlfn.DISPIMG("ID_683757A20CF244E487B6566AD972BF0D",1)</f>
        <v>=DISPIMG("ID_683757A20CF244E487B6566AD972BF0D",1)</v>
      </c>
      <c r="P141" s="46"/>
    </row>
    <row r="142" s="33" customFormat="1" ht="30" customHeight="1" spans="1:16">
      <c r="A142" s="23">
        <v>139</v>
      </c>
      <c r="B142" s="35">
        <v>21012073</v>
      </c>
      <c r="C142" s="35" t="s">
        <v>169</v>
      </c>
      <c r="D142" s="23">
        <v>60</v>
      </c>
      <c r="E142" s="23">
        <v>6</v>
      </c>
      <c r="F142" s="23">
        <v>0</v>
      </c>
      <c r="G142" s="23">
        <v>66</v>
      </c>
      <c r="H142" s="23">
        <f t="shared" si="4"/>
        <v>13.2</v>
      </c>
      <c r="I142" s="15">
        <v>36</v>
      </c>
      <c r="J142" s="44" t="s">
        <v>482</v>
      </c>
      <c r="K142" s="44"/>
      <c r="L142" s="44"/>
      <c r="M142" s="44"/>
      <c r="N142" s="44"/>
      <c r="O142" s="17" t="str">
        <f>_xlfn.DISPIMG("ID_299219D91A8A4FC994500B5D2F1DF674",1)</f>
        <v>=DISPIMG("ID_299219D91A8A4FC994500B5D2F1DF674",1)</v>
      </c>
      <c r="P142" s="46"/>
    </row>
    <row r="143" s="33" customFormat="1" ht="30" customHeight="1" spans="1:16">
      <c r="A143" s="23">
        <v>140</v>
      </c>
      <c r="B143" s="35">
        <v>21012083</v>
      </c>
      <c r="C143" s="35" t="s">
        <v>186</v>
      </c>
      <c r="D143" s="23">
        <v>60</v>
      </c>
      <c r="E143" s="23">
        <v>6</v>
      </c>
      <c r="F143" s="23">
        <v>0</v>
      </c>
      <c r="G143" s="23">
        <v>66</v>
      </c>
      <c r="H143" s="23">
        <f t="shared" si="4"/>
        <v>13.2</v>
      </c>
      <c r="I143" s="15">
        <v>36</v>
      </c>
      <c r="J143" s="44" t="s">
        <v>483</v>
      </c>
      <c r="K143" s="44"/>
      <c r="L143" s="44"/>
      <c r="M143" s="44"/>
      <c r="N143" s="44"/>
      <c r="O143" s="17" t="str">
        <f>_xlfn.DISPIMG("ID_C0056C45CAB2420FBB5F0958A4E0922A",1)</f>
        <v>=DISPIMG("ID_C0056C45CAB2420FBB5F0958A4E0922A",1)</v>
      </c>
      <c r="P143" s="46"/>
    </row>
    <row r="144" s="33" customFormat="1" ht="30" customHeight="1" spans="1:16">
      <c r="A144" s="23">
        <v>141</v>
      </c>
      <c r="B144" s="35">
        <v>21012084</v>
      </c>
      <c r="C144" s="35" t="s">
        <v>54</v>
      </c>
      <c r="D144" s="23">
        <v>60</v>
      </c>
      <c r="E144" s="23">
        <v>12</v>
      </c>
      <c r="F144" s="23">
        <v>0</v>
      </c>
      <c r="G144" s="23">
        <v>72</v>
      </c>
      <c r="H144" s="23">
        <f t="shared" si="4"/>
        <v>14.4</v>
      </c>
      <c r="I144" s="15">
        <v>16</v>
      </c>
      <c r="J144" s="44" t="s">
        <v>484</v>
      </c>
      <c r="K144" s="44"/>
      <c r="L144" s="44"/>
      <c r="M144" s="44"/>
      <c r="N144" s="44"/>
      <c r="O144" s="17" t="str">
        <f>_xlfn.DISPIMG("ID_C7D2FDFC9359478BAD756DFB4878C8B6",1)</f>
        <v>=DISPIMG("ID_C7D2FDFC9359478BAD756DFB4878C8B6",1)</v>
      </c>
      <c r="P144" s="46"/>
    </row>
    <row r="145" s="33" customFormat="1" ht="30" customHeight="1" spans="1:16">
      <c r="A145" s="23">
        <v>142</v>
      </c>
      <c r="B145" s="35">
        <v>21012095</v>
      </c>
      <c r="C145" s="35" t="s">
        <v>217</v>
      </c>
      <c r="D145" s="23">
        <v>60</v>
      </c>
      <c r="E145" s="23">
        <v>4</v>
      </c>
      <c r="F145" s="23">
        <v>0</v>
      </c>
      <c r="G145" s="23">
        <v>64</v>
      </c>
      <c r="H145" s="23">
        <f t="shared" si="4"/>
        <v>12.8</v>
      </c>
      <c r="I145" s="15">
        <v>48</v>
      </c>
      <c r="J145" s="44" t="s">
        <v>485</v>
      </c>
      <c r="K145" s="44"/>
      <c r="L145" s="44"/>
      <c r="M145" s="44"/>
      <c r="N145" s="44"/>
      <c r="O145" s="17" t="str">
        <f>_xlfn.DISPIMG("ID_F6F7A05DA5634584A6585A4B08C87D4B",1)</f>
        <v>=DISPIMG("ID_F6F7A05DA5634584A6585A4B08C87D4B",1)</v>
      </c>
      <c r="P145" s="46"/>
    </row>
    <row r="146" s="33" customFormat="1" ht="30" customHeight="1" spans="1:16">
      <c r="A146" s="23">
        <v>143</v>
      </c>
      <c r="B146" s="35">
        <v>21012097</v>
      </c>
      <c r="C146" s="35" t="s">
        <v>131</v>
      </c>
      <c r="D146" s="23">
        <v>60</v>
      </c>
      <c r="E146" s="23">
        <v>4</v>
      </c>
      <c r="F146" s="23">
        <v>0</v>
      </c>
      <c r="G146" s="23">
        <v>64</v>
      </c>
      <c r="H146" s="23">
        <f t="shared" si="4"/>
        <v>12.8</v>
      </c>
      <c r="I146" s="15">
        <v>48</v>
      </c>
      <c r="J146" s="44" t="s">
        <v>486</v>
      </c>
      <c r="K146" s="44"/>
      <c r="L146" s="44"/>
      <c r="M146" s="44"/>
      <c r="N146" s="44"/>
      <c r="O146" s="17" t="str">
        <f>_xlfn.DISPIMG("ID_2836EB2365FB48C5A55B903EE90E34BB",1)</f>
        <v>=DISPIMG("ID_2836EB2365FB48C5A55B903EE90E34BB",1)</v>
      </c>
      <c r="P146" s="46"/>
    </row>
    <row r="147" s="33" customFormat="1" ht="30" customHeight="1" spans="1:16">
      <c r="A147" s="23">
        <v>144</v>
      </c>
      <c r="B147" s="35">
        <v>21012106</v>
      </c>
      <c r="C147" s="35" t="s">
        <v>58</v>
      </c>
      <c r="D147" s="23">
        <v>60</v>
      </c>
      <c r="E147" s="23">
        <v>6</v>
      </c>
      <c r="F147" s="23">
        <v>0</v>
      </c>
      <c r="G147" s="23">
        <v>66</v>
      </c>
      <c r="H147" s="23">
        <f t="shared" si="4"/>
        <v>13.2</v>
      </c>
      <c r="I147" s="15">
        <v>36</v>
      </c>
      <c r="J147" s="44" t="s">
        <v>483</v>
      </c>
      <c r="K147" s="44"/>
      <c r="L147" s="44"/>
      <c r="M147" s="44"/>
      <c r="N147" s="44"/>
      <c r="O147" s="17" t="str">
        <f>_xlfn.DISPIMG("ID_62F92E6F209F4331B36FC44E51530656",1)</f>
        <v>=DISPIMG("ID_62F92E6F209F4331B36FC44E51530656",1)</v>
      </c>
      <c r="P147" s="46"/>
    </row>
    <row r="148" s="33" customFormat="1" ht="30" customHeight="1" spans="1:16">
      <c r="A148" s="23">
        <v>145</v>
      </c>
      <c r="B148" s="35">
        <v>21012107</v>
      </c>
      <c r="C148" s="35" t="s">
        <v>64</v>
      </c>
      <c r="D148" s="23">
        <v>60</v>
      </c>
      <c r="E148" s="23">
        <v>14.5</v>
      </c>
      <c r="F148" s="23">
        <v>0</v>
      </c>
      <c r="G148" s="23">
        <v>74.5</v>
      </c>
      <c r="H148" s="23">
        <f t="shared" si="4"/>
        <v>14.9</v>
      </c>
      <c r="I148" s="15">
        <v>12</v>
      </c>
      <c r="J148" s="44" t="s">
        <v>487</v>
      </c>
      <c r="K148" s="44"/>
      <c r="L148" s="44"/>
      <c r="M148" s="44"/>
      <c r="N148" s="44"/>
      <c r="O148" s="17" t="str">
        <f>_xlfn.DISPIMG("ID_DDDA7A847897425EB777932C717C0393",1)</f>
        <v>=DISPIMG("ID_DDDA7A847897425EB777932C717C0393",1)</v>
      </c>
      <c r="P148" s="46"/>
    </row>
    <row r="149" s="33" customFormat="1" ht="30" customHeight="1" spans="1:16">
      <c r="A149" s="23">
        <v>146</v>
      </c>
      <c r="B149" s="35">
        <v>21012120</v>
      </c>
      <c r="C149" s="35" t="s">
        <v>25</v>
      </c>
      <c r="D149" s="23">
        <v>60</v>
      </c>
      <c r="E149" s="23">
        <v>40</v>
      </c>
      <c r="F149" s="23">
        <v>0</v>
      </c>
      <c r="G149" s="23">
        <v>100</v>
      </c>
      <c r="H149" s="23">
        <f t="shared" si="4"/>
        <v>20</v>
      </c>
      <c r="I149" s="15">
        <v>1</v>
      </c>
      <c r="J149" s="44" t="s">
        <v>488</v>
      </c>
      <c r="K149" s="44"/>
      <c r="L149" s="44"/>
      <c r="M149" s="44"/>
      <c r="N149" s="44"/>
      <c r="O149" s="17" t="str">
        <f>_xlfn.DISPIMG("ID_ACE6D4756C1A42E8A62ACDB6029E7727",1)</f>
        <v>=DISPIMG("ID_ACE6D4756C1A42E8A62ACDB6029E7727",1)</v>
      </c>
      <c r="P149" s="46"/>
    </row>
    <row r="150" s="33" customFormat="1" ht="30" customHeight="1" spans="1:16">
      <c r="A150" s="23">
        <v>147</v>
      </c>
      <c r="B150" s="35">
        <v>21012121</v>
      </c>
      <c r="C150" s="35" t="s">
        <v>82</v>
      </c>
      <c r="D150" s="23">
        <v>60</v>
      </c>
      <c r="E150" s="23">
        <v>6</v>
      </c>
      <c r="F150" s="23">
        <v>0</v>
      </c>
      <c r="G150" s="23">
        <v>66</v>
      </c>
      <c r="H150" s="23">
        <f t="shared" si="4"/>
        <v>13.2</v>
      </c>
      <c r="I150" s="15">
        <v>36</v>
      </c>
      <c r="J150" s="44" t="s">
        <v>489</v>
      </c>
      <c r="K150" s="44"/>
      <c r="L150" s="44"/>
      <c r="M150" s="44"/>
      <c r="N150" s="44"/>
      <c r="O150" s="17" t="str">
        <f>_xlfn.DISPIMG("ID_6E8A48B82FAD45FA8BF1B3E5430576D1",1)</f>
        <v>=DISPIMG("ID_6E8A48B82FAD45FA8BF1B3E5430576D1",1)</v>
      </c>
      <c r="P150" s="46"/>
    </row>
    <row r="151" s="33" customFormat="1" ht="30" customHeight="1" spans="1:16">
      <c r="A151" s="23">
        <v>148</v>
      </c>
      <c r="B151" s="35">
        <v>21012130</v>
      </c>
      <c r="C151" s="35" t="s">
        <v>36</v>
      </c>
      <c r="D151" s="23">
        <v>60</v>
      </c>
      <c r="E151" s="23">
        <v>24</v>
      </c>
      <c r="F151" s="23">
        <v>0</v>
      </c>
      <c r="G151" s="23">
        <v>84</v>
      </c>
      <c r="H151" s="23">
        <f t="shared" si="4"/>
        <v>16.8</v>
      </c>
      <c r="I151" s="15">
        <v>6</v>
      </c>
      <c r="J151" s="44" t="s">
        <v>490</v>
      </c>
      <c r="K151" s="35"/>
      <c r="L151" s="35"/>
      <c r="M151" s="35"/>
      <c r="N151" s="35"/>
      <c r="O151" s="17" t="str">
        <f>_xlfn.DISPIMG("ID_90B9B28B007741BA8CAC3FB908965332",1)</f>
        <v>=DISPIMG("ID_90B9B28B007741BA8CAC3FB908965332",1)</v>
      </c>
      <c r="P151" s="46"/>
    </row>
    <row r="152" s="33" customFormat="1" ht="30" customHeight="1" spans="1:16">
      <c r="A152" s="23">
        <v>149</v>
      </c>
      <c r="B152" s="35">
        <v>21012068</v>
      </c>
      <c r="C152" s="35" t="s">
        <v>176</v>
      </c>
      <c r="D152" s="23">
        <v>60</v>
      </c>
      <c r="E152" s="23">
        <v>9</v>
      </c>
      <c r="F152" s="23">
        <v>0</v>
      </c>
      <c r="G152" s="23">
        <v>69</v>
      </c>
      <c r="H152" s="23">
        <f t="shared" si="4"/>
        <v>13.8</v>
      </c>
      <c r="I152" s="15">
        <v>24</v>
      </c>
      <c r="J152" s="44" t="s">
        <v>491</v>
      </c>
      <c r="K152" s="44"/>
      <c r="L152" s="44"/>
      <c r="M152" s="44"/>
      <c r="N152" s="44"/>
      <c r="O152" s="17" t="str">
        <f>_xlfn.DISPIMG("ID_F74ADF78E659410FB00BEF122F9527E5",1)</f>
        <v>=DISPIMG("ID_F74ADF78E659410FB00BEF122F9527E5",1)</v>
      </c>
      <c r="P152" s="46"/>
    </row>
    <row r="153" s="33" customFormat="1" ht="30" customHeight="1" spans="1:16">
      <c r="A153" s="23">
        <v>150</v>
      </c>
      <c r="B153" s="35">
        <v>21012070</v>
      </c>
      <c r="C153" s="35" t="s">
        <v>194</v>
      </c>
      <c r="D153" s="23">
        <v>60</v>
      </c>
      <c r="E153" s="23">
        <v>4</v>
      </c>
      <c r="F153" s="23">
        <v>0</v>
      </c>
      <c r="G153" s="23">
        <v>64</v>
      </c>
      <c r="H153" s="23">
        <f t="shared" si="4"/>
        <v>12.8</v>
      </c>
      <c r="I153" s="15">
        <v>48</v>
      </c>
      <c r="J153" s="44" t="s">
        <v>477</v>
      </c>
      <c r="K153" s="44"/>
      <c r="L153" s="44"/>
      <c r="M153" s="44"/>
      <c r="N153" s="44"/>
      <c r="O153" s="17" t="str">
        <f>_xlfn.DISPIMG("ID_B74A07A0103141FC864C8B7038870043",1)</f>
        <v>=DISPIMG("ID_B74A07A0103141FC864C8B7038870043",1)</v>
      </c>
      <c r="P153" s="46"/>
    </row>
    <row r="154" s="33" customFormat="1" ht="30" customHeight="1" spans="1:16">
      <c r="A154" s="23">
        <v>151</v>
      </c>
      <c r="B154" s="35">
        <v>21012117</v>
      </c>
      <c r="C154" s="35" t="s">
        <v>40</v>
      </c>
      <c r="D154" s="23">
        <v>60</v>
      </c>
      <c r="E154" s="23">
        <v>21.5</v>
      </c>
      <c r="F154" s="23">
        <v>0</v>
      </c>
      <c r="G154" s="23">
        <v>81.5</v>
      </c>
      <c r="H154" s="23">
        <f t="shared" si="4"/>
        <v>16.3</v>
      </c>
      <c r="I154" s="15">
        <v>7</v>
      </c>
      <c r="J154" s="35" t="s">
        <v>492</v>
      </c>
      <c r="K154" s="35"/>
      <c r="L154" s="35"/>
      <c r="M154" s="35"/>
      <c r="N154" s="35"/>
      <c r="O154" s="17" t="str">
        <f>_xlfn.DISPIMG("ID_71C70DCD14394BBDA07BD7D9A5E6D41A",1)</f>
        <v>=DISPIMG("ID_71C70DCD14394BBDA07BD7D9A5E6D41A",1)</v>
      </c>
      <c r="P154" s="46"/>
    </row>
    <row r="155" s="33" customFormat="1" ht="30" customHeight="1" spans="1:16">
      <c r="A155" s="23">
        <v>152</v>
      </c>
      <c r="B155" s="35">
        <v>21012133</v>
      </c>
      <c r="C155" s="35" t="s">
        <v>190</v>
      </c>
      <c r="D155" s="23">
        <v>60</v>
      </c>
      <c r="E155" s="23">
        <v>6</v>
      </c>
      <c r="F155" s="23">
        <v>0</v>
      </c>
      <c r="G155" s="23">
        <v>66</v>
      </c>
      <c r="H155" s="23">
        <f t="shared" si="4"/>
        <v>13.2</v>
      </c>
      <c r="I155" s="15">
        <v>36</v>
      </c>
      <c r="J155" s="44" t="s">
        <v>489</v>
      </c>
      <c r="K155" s="44"/>
      <c r="L155" s="44"/>
      <c r="M155" s="44"/>
      <c r="N155" s="44"/>
      <c r="O155" s="17" t="str">
        <f>_xlfn.DISPIMG("ID_279C57439A584415B077F4C890DF6E28",1)</f>
        <v>=DISPIMG("ID_279C57439A584415B077F4C890DF6E28",1)</v>
      </c>
      <c r="P155" s="46"/>
    </row>
    <row r="156" s="33" customFormat="1" ht="30" customHeight="1" spans="1:16">
      <c r="A156" s="23">
        <v>153</v>
      </c>
      <c r="B156" s="35">
        <v>21012137</v>
      </c>
      <c r="C156" s="35" t="s">
        <v>129</v>
      </c>
      <c r="D156" s="23">
        <v>60</v>
      </c>
      <c r="E156" s="23">
        <v>4.5</v>
      </c>
      <c r="F156" s="23">
        <v>0</v>
      </c>
      <c r="G156" s="23">
        <v>64.5</v>
      </c>
      <c r="H156" s="23">
        <f t="shared" si="4"/>
        <v>12.9</v>
      </c>
      <c r="I156" s="15">
        <v>45</v>
      </c>
      <c r="J156" s="44" t="s">
        <v>493</v>
      </c>
      <c r="K156" s="44"/>
      <c r="L156" s="44"/>
      <c r="M156" s="44"/>
      <c r="N156" s="44"/>
      <c r="O156" s="17" t="str">
        <f>_xlfn.DISPIMG("ID_B64F6F61EED545479642DCA2AB2270DF",1)</f>
        <v>=DISPIMG("ID_B64F6F61EED545479642DCA2AB2270DF",1)</v>
      </c>
      <c r="P156" s="46"/>
    </row>
    <row r="157" s="33" customFormat="1" ht="37" customHeight="1" spans="1:16">
      <c r="A157" s="23">
        <v>154</v>
      </c>
      <c r="B157" s="35">
        <v>21012138</v>
      </c>
      <c r="C157" s="35" t="s">
        <v>115</v>
      </c>
      <c r="D157" s="23">
        <v>60</v>
      </c>
      <c r="E157" s="23">
        <v>10</v>
      </c>
      <c r="F157" s="23">
        <v>0</v>
      </c>
      <c r="G157" s="23">
        <v>70</v>
      </c>
      <c r="H157" s="23">
        <f t="shared" si="4"/>
        <v>14</v>
      </c>
      <c r="I157" s="15">
        <v>20</v>
      </c>
      <c r="J157" s="44" t="s">
        <v>494</v>
      </c>
      <c r="K157" s="44"/>
      <c r="L157" s="44"/>
      <c r="M157" s="44"/>
      <c r="N157" s="44"/>
      <c r="O157" s="26" t="str">
        <f>_xlfn.DISPIMG("ID_7751AE6D34514106832CCACA49FA8EF1",1)</f>
        <v>=DISPIMG("ID_7751AE6D34514106832CCACA49FA8EF1",1)</v>
      </c>
      <c r="P157" s="46"/>
    </row>
    <row r="158" s="33" customFormat="1" ht="30" customHeight="1" spans="1:16">
      <c r="A158" s="23">
        <v>155</v>
      </c>
      <c r="B158" s="35">
        <v>21012148</v>
      </c>
      <c r="C158" s="35" t="s">
        <v>28</v>
      </c>
      <c r="D158" s="23">
        <v>60</v>
      </c>
      <c r="E158" s="23">
        <v>29</v>
      </c>
      <c r="F158" s="23">
        <v>0</v>
      </c>
      <c r="G158" s="23">
        <v>89</v>
      </c>
      <c r="H158" s="23">
        <f t="shared" si="4"/>
        <v>17.8</v>
      </c>
      <c r="I158" s="15">
        <v>5</v>
      </c>
      <c r="J158" s="44" t="s">
        <v>495</v>
      </c>
      <c r="K158" s="44"/>
      <c r="L158" s="44"/>
      <c r="M158" s="44"/>
      <c r="N158" s="44"/>
      <c r="O158" s="17" t="str">
        <f>_xlfn.DISPIMG("ID_5E591CF41BE34AE2B7D16AFB33A56CD6",1)</f>
        <v>=DISPIMG("ID_5E591CF41BE34AE2B7D16AFB33A56CD6",1)</v>
      </c>
      <c r="P158" s="46"/>
    </row>
    <row r="159" s="33" customFormat="1" ht="30" customHeight="1" spans="1:16">
      <c r="A159" s="23">
        <v>156</v>
      </c>
      <c r="B159" s="35">
        <v>21012149</v>
      </c>
      <c r="C159" s="35" t="s">
        <v>277</v>
      </c>
      <c r="D159" s="23">
        <v>60</v>
      </c>
      <c r="E159" s="23">
        <v>4</v>
      </c>
      <c r="F159" s="23">
        <v>0</v>
      </c>
      <c r="G159" s="23">
        <v>64</v>
      </c>
      <c r="H159" s="23">
        <f t="shared" si="4"/>
        <v>12.8</v>
      </c>
      <c r="I159" s="15">
        <v>48</v>
      </c>
      <c r="J159" s="44" t="s">
        <v>496</v>
      </c>
      <c r="K159" s="44"/>
      <c r="L159" s="44"/>
      <c r="M159" s="44"/>
      <c r="N159" s="44"/>
      <c r="O159" s="17" t="str">
        <f>_xlfn.DISPIMG("ID_84EE5AD21811448BA820D0739FC980F6",1)</f>
        <v>=DISPIMG("ID_84EE5AD21811448BA820D0739FC980F6",1)</v>
      </c>
      <c r="P159" s="46"/>
    </row>
    <row r="160" s="33" customFormat="1" ht="30" customHeight="1" spans="1:16">
      <c r="A160" s="23">
        <v>157</v>
      </c>
      <c r="B160" s="35">
        <v>21012155</v>
      </c>
      <c r="C160" s="35" t="s">
        <v>273</v>
      </c>
      <c r="D160" s="23">
        <v>60</v>
      </c>
      <c r="E160" s="23">
        <v>4</v>
      </c>
      <c r="F160" s="23">
        <v>0</v>
      </c>
      <c r="G160" s="23">
        <v>64</v>
      </c>
      <c r="H160" s="23">
        <f t="shared" si="4"/>
        <v>12.8</v>
      </c>
      <c r="I160" s="15">
        <v>48</v>
      </c>
      <c r="J160" s="44" t="s">
        <v>497</v>
      </c>
      <c r="K160" s="44"/>
      <c r="L160" s="44"/>
      <c r="M160" s="44"/>
      <c r="N160" s="44"/>
      <c r="O160" s="17" t="str">
        <f>_xlfn.DISPIMG("ID_C438CF61CC024A2FA7E346CDF6E6B1F7",1)</f>
        <v>=DISPIMG("ID_C438CF61CC024A2FA7E346CDF6E6B1F7",1)</v>
      </c>
      <c r="P160" s="46"/>
    </row>
  </sheetData>
  <mergeCells count="159">
    <mergeCell ref="A1:P1"/>
    <mergeCell ref="J3:N3"/>
    <mergeCell ref="J4:N4"/>
    <mergeCell ref="J5:N5"/>
    <mergeCell ref="J6:N6"/>
    <mergeCell ref="J7:N7"/>
    <mergeCell ref="J8:N8"/>
    <mergeCell ref="J9:N9"/>
    <mergeCell ref="J10:N10"/>
    <mergeCell ref="J11:N11"/>
    <mergeCell ref="J12:N12"/>
    <mergeCell ref="J13:N13"/>
    <mergeCell ref="J14:N14"/>
    <mergeCell ref="J15:N15"/>
    <mergeCell ref="J16:N16"/>
    <mergeCell ref="J17:N17"/>
    <mergeCell ref="J18:N18"/>
    <mergeCell ref="J19:N19"/>
    <mergeCell ref="J20:N20"/>
    <mergeCell ref="J21:N21"/>
    <mergeCell ref="J22:N22"/>
    <mergeCell ref="J23:N23"/>
    <mergeCell ref="J24:N24"/>
    <mergeCell ref="J25:N25"/>
    <mergeCell ref="J26:N26"/>
    <mergeCell ref="J27:N27"/>
    <mergeCell ref="J28:N28"/>
    <mergeCell ref="J29:N29"/>
    <mergeCell ref="J30:N30"/>
    <mergeCell ref="J31:N31"/>
    <mergeCell ref="J32:N32"/>
    <mergeCell ref="J33:N33"/>
    <mergeCell ref="J34:N34"/>
    <mergeCell ref="J35:N35"/>
    <mergeCell ref="J36:N36"/>
    <mergeCell ref="J37:N37"/>
    <mergeCell ref="J38:N38"/>
    <mergeCell ref="J39:N39"/>
    <mergeCell ref="J40:N40"/>
    <mergeCell ref="J41:N41"/>
    <mergeCell ref="J42:N42"/>
    <mergeCell ref="J43:N43"/>
    <mergeCell ref="J44:N44"/>
    <mergeCell ref="J45:N45"/>
    <mergeCell ref="J46:N46"/>
    <mergeCell ref="J47:N47"/>
    <mergeCell ref="J48:N48"/>
    <mergeCell ref="J49:N49"/>
    <mergeCell ref="J50:N50"/>
    <mergeCell ref="J51:N51"/>
    <mergeCell ref="J52:N52"/>
    <mergeCell ref="J53:N53"/>
    <mergeCell ref="J54:N54"/>
    <mergeCell ref="J55:N55"/>
    <mergeCell ref="J56:N56"/>
    <mergeCell ref="J57:N57"/>
    <mergeCell ref="J58:N58"/>
    <mergeCell ref="J59:N59"/>
    <mergeCell ref="J60:N60"/>
    <mergeCell ref="J61:N61"/>
    <mergeCell ref="J62:N62"/>
    <mergeCell ref="J63:N63"/>
    <mergeCell ref="J64:N64"/>
    <mergeCell ref="J65:N65"/>
    <mergeCell ref="J66:N66"/>
    <mergeCell ref="J67:N67"/>
    <mergeCell ref="J68:N68"/>
    <mergeCell ref="J69:N69"/>
    <mergeCell ref="J70:N70"/>
    <mergeCell ref="J71:N71"/>
    <mergeCell ref="J72:N72"/>
    <mergeCell ref="J73:N73"/>
    <mergeCell ref="J74:N74"/>
    <mergeCell ref="J75:N75"/>
    <mergeCell ref="J76:N76"/>
    <mergeCell ref="J77:N77"/>
    <mergeCell ref="J78:N78"/>
    <mergeCell ref="J79:N79"/>
    <mergeCell ref="J80:N80"/>
    <mergeCell ref="J81:N81"/>
    <mergeCell ref="J82:N82"/>
    <mergeCell ref="J83:N83"/>
    <mergeCell ref="J84:N84"/>
    <mergeCell ref="J85:N85"/>
    <mergeCell ref="J86:N86"/>
    <mergeCell ref="J87:N87"/>
    <mergeCell ref="J88:N88"/>
    <mergeCell ref="J89:N89"/>
    <mergeCell ref="J90:N90"/>
    <mergeCell ref="J91:N91"/>
    <mergeCell ref="J92:N92"/>
    <mergeCell ref="J93:N93"/>
    <mergeCell ref="J94:N94"/>
    <mergeCell ref="J95:N95"/>
    <mergeCell ref="J96:N96"/>
    <mergeCell ref="J97:N97"/>
    <mergeCell ref="J98:N98"/>
    <mergeCell ref="J99:N99"/>
    <mergeCell ref="J100:N100"/>
    <mergeCell ref="J101:N101"/>
    <mergeCell ref="J102:N102"/>
    <mergeCell ref="J103:N103"/>
    <mergeCell ref="J104:N104"/>
    <mergeCell ref="J105:N105"/>
    <mergeCell ref="J106:N106"/>
    <mergeCell ref="J107:N107"/>
    <mergeCell ref="J108:N108"/>
    <mergeCell ref="J109:N109"/>
    <mergeCell ref="J110:N110"/>
    <mergeCell ref="J111:N111"/>
    <mergeCell ref="J112:N112"/>
    <mergeCell ref="J113:N113"/>
    <mergeCell ref="J114:N114"/>
    <mergeCell ref="J115:N115"/>
    <mergeCell ref="J116:N116"/>
    <mergeCell ref="J117:N117"/>
    <mergeCell ref="J118:N118"/>
    <mergeCell ref="J119:N119"/>
    <mergeCell ref="J120:N120"/>
    <mergeCell ref="J121:N121"/>
    <mergeCell ref="J122:N122"/>
    <mergeCell ref="J123:N123"/>
    <mergeCell ref="J124:N124"/>
    <mergeCell ref="J125:N125"/>
    <mergeCell ref="J126:N126"/>
    <mergeCell ref="J127:N127"/>
    <mergeCell ref="J128:N128"/>
    <mergeCell ref="J129:N129"/>
    <mergeCell ref="J130:N130"/>
    <mergeCell ref="J131:N131"/>
    <mergeCell ref="J132:N132"/>
    <mergeCell ref="J133:N133"/>
    <mergeCell ref="J134:N134"/>
    <mergeCell ref="J135:N135"/>
    <mergeCell ref="J136:N136"/>
    <mergeCell ref="J137:N137"/>
    <mergeCell ref="J138:N138"/>
    <mergeCell ref="J139:N139"/>
    <mergeCell ref="J140:N140"/>
    <mergeCell ref="J141:N141"/>
    <mergeCell ref="J142:N142"/>
    <mergeCell ref="J143:N143"/>
    <mergeCell ref="J144:N144"/>
    <mergeCell ref="J145:N145"/>
    <mergeCell ref="J146:N146"/>
    <mergeCell ref="J147:N147"/>
    <mergeCell ref="J148:N148"/>
    <mergeCell ref="J149:N149"/>
    <mergeCell ref="J150:N150"/>
    <mergeCell ref="J151:N151"/>
    <mergeCell ref="J152:N152"/>
    <mergeCell ref="J153:N153"/>
    <mergeCell ref="J154:N154"/>
    <mergeCell ref="J155:N155"/>
    <mergeCell ref="J156:N156"/>
    <mergeCell ref="J157:N157"/>
    <mergeCell ref="J158:N158"/>
    <mergeCell ref="J159:N159"/>
    <mergeCell ref="J160:N160"/>
  </mergeCells>
  <pageMargins left="0.7" right="0.7" top="0.75" bottom="0.75" header="0.3" footer="0.3"/>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160"/>
  <sheetViews>
    <sheetView workbookViewId="0">
      <selection activeCell="J6" sqref="J6:N6"/>
    </sheetView>
  </sheetViews>
  <sheetFormatPr defaultColWidth="9" defaultRowHeight="16.5"/>
  <cols>
    <col min="1" max="1" width="9" style="2"/>
    <col min="2" max="2" width="11.4444444444444" style="2" customWidth="1"/>
    <col min="3" max="3" width="10.8888888888889" style="2" customWidth="1"/>
    <col min="4" max="4" width="20.4444444444444" style="2" customWidth="1"/>
    <col min="5" max="5" width="20.7037037037037" style="2" customWidth="1"/>
    <col min="6" max="8" width="9" style="2"/>
    <col min="9" max="9" width="15.6" style="2" customWidth="1"/>
    <col min="10" max="10" width="75.4666666666667" style="3" customWidth="1"/>
    <col min="11" max="16384" width="9" style="3"/>
  </cols>
  <sheetData>
    <row r="1" ht="22.7" customHeight="1" spans="1:16">
      <c r="A1" s="4" t="s">
        <v>498</v>
      </c>
      <c r="B1" s="4"/>
      <c r="C1" s="4"/>
      <c r="D1" s="4"/>
      <c r="E1" s="4"/>
      <c r="F1" s="4"/>
      <c r="G1" s="4"/>
      <c r="H1" s="4"/>
      <c r="I1" s="4"/>
      <c r="J1" s="4"/>
      <c r="K1" s="4"/>
      <c r="L1" s="4"/>
      <c r="M1" s="4"/>
      <c r="N1" s="4"/>
      <c r="O1" s="4"/>
      <c r="P1" s="4"/>
    </row>
    <row r="2" ht="18.4" customHeight="1" spans="1:16">
      <c r="A2" s="5" t="s">
        <v>1</v>
      </c>
      <c r="B2" s="5"/>
      <c r="C2" s="5"/>
      <c r="D2" s="5"/>
      <c r="E2" s="6"/>
      <c r="F2" s="6"/>
      <c r="G2" s="6"/>
      <c r="H2" s="6"/>
      <c r="I2" s="6"/>
      <c r="J2" s="13"/>
      <c r="K2" s="13"/>
      <c r="L2" s="13"/>
      <c r="M2" s="13"/>
      <c r="N2" s="13"/>
      <c r="O2" s="13"/>
      <c r="P2" s="13"/>
    </row>
    <row r="3" ht="36.85" customHeight="1" spans="1:16">
      <c r="A3" s="7" t="s">
        <v>2</v>
      </c>
      <c r="B3" s="7" t="s">
        <v>3</v>
      </c>
      <c r="C3" s="7" t="s">
        <v>4</v>
      </c>
      <c r="D3" s="7" t="s">
        <v>499</v>
      </c>
      <c r="E3" s="7" t="s">
        <v>500</v>
      </c>
      <c r="F3" s="7" t="s">
        <v>395</v>
      </c>
      <c r="G3" s="7" t="s">
        <v>327</v>
      </c>
      <c r="H3" s="8" t="s">
        <v>501</v>
      </c>
      <c r="I3" s="7" t="s">
        <v>502</v>
      </c>
      <c r="J3" s="14" t="s">
        <v>330</v>
      </c>
      <c r="K3" s="14"/>
      <c r="L3" s="14"/>
      <c r="M3" s="14"/>
      <c r="N3" s="14"/>
      <c r="O3" s="14" t="s">
        <v>16</v>
      </c>
      <c r="P3" s="14" t="s">
        <v>17</v>
      </c>
    </row>
    <row r="4" ht="30" customHeight="1" spans="1:16">
      <c r="A4" s="9">
        <v>1</v>
      </c>
      <c r="B4" s="9">
        <v>21012003</v>
      </c>
      <c r="C4" s="9" t="s">
        <v>284</v>
      </c>
      <c r="D4" s="9">
        <v>50</v>
      </c>
      <c r="E4" s="9">
        <v>0</v>
      </c>
      <c r="F4" s="9">
        <v>0</v>
      </c>
      <c r="G4" s="9">
        <v>50</v>
      </c>
      <c r="H4" s="9">
        <f>G4*0.1</f>
        <v>5</v>
      </c>
      <c r="I4" s="15">
        <v>58</v>
      </c>
      <c r="J4" s="16"/>
      <c r="K4" s="16"/>
      <c r="L4" s="16"/>
      <c r="M4" s="16"/>
      <c r="N4" s="16"/>
      <c r="O4" s="17" t="str">
        <f>_xlfn.DISPIMG("ID_896B9B305CF24B5AA7BED551FA90A4A5",1)</f>
        <v>=DISPIMG("ID_896B9B305CF24B5AA7BED551FA90A4A5",1)</v>
      </c>
      <c r="P4" s="16"/>
    </row>
    <row r="5" ht="30" customHeight="1" spans="1:16">
      <c r="A5" s="9">
        <v>2</v>
      </c>
      <c r="B5" s="9">
        <v>21009001</v>
      </c>
      <c r="C5" s="9" t="s">
        <v>192</v>
      </c>
      <c r="D5" s="9">
        <v>50</v>
      </c>
      <c r="E5" s="9">
        <v>0</v>
      </c>
      <c r="F5" s="9">
        <v>0</v>
      </c>
      <c r="G5" s="9">
        <v>50</v>
      </c>
      <c r="H5" s="9">
        <f t="shared" ref="H5:H28" si="0">G5*0.1</f>
        <v>5</v>
      </c>
      <c r="I5" s="15">
        <v>58</v>
      </c>
      <c r="J5" s="16"/>
      <c r="K5" s="16"/>
      <c r="L5" s="16"/>
      <c r="M5" s="16"/>
      <c r="N5" s="16"/>
      <c r="O5" s="16" t="str">
        <f>_xlfn.DISPIMG("ID_A0ED9F92782A4B2083F7E7270BBF994B",1)</f>
        <v>=DISPIMG("ID_A0ED9F92782A4B2083F7E7270BBF994B",1)</v>
      </c>
      <c r="P5" s="16"/>
    </row>
    <row r="6" ht="30" customHeight="1" spans="1:16">
      <c r="A6" s="9">
        <v>3</v>
      </c>
      <c r="B6" s="9">
        <v>21012088</v>
      </c>
      <c r="C6" s="9" t="s">
        <v>259</v>
      </c>
      <c r="D6" s="9">
        <v>50</v>
      </c>
      <c r="E6" s="9">
        <v>8</v>
      </c>
      <c r="F6" s="9">
        <v>0</v>
      </c>
      <c r="G6" s="9">
        <v>58</v>
      </c>
      <c r="H6" s="9">
        <f t="shared" si="0"/>
        <v>5.8</v>
      </c>
      <c r="I6" s="15">
        <v>32</v>
      </c>
      <c r="J6" s="16" t="s">
        <v>503</v>
      </c>
      <c r="K6" s="16"/>
      <c r="L6" s="16"/>
      <c r="M6" s="16"/>
      <c r="N6" s="16"/>
      <c r="O6" s="17" t="str">
        <f>_xlfn.DISPIMG("ID_F3BED46223DC482097C96DA3EEC66E4A",1)</f>
        <v>=DISPIMG("ID_F3BED46223DC482097C96DA3EEC66E4A",1)</v>
      </c>
      <c r="P6" s="16"/>
    </row>
    <row r="7" ht="30" customHeight="1" spans="1:16">
      <c r="A7" s="9">
        <v>4</v>
      </c>
      <c r="B7" s="9">
        <v>20015058</v>
      </c>
      <c r="C7" s="9" t="s">
        <v>196</v>
      </c>
      <c r="D7" s="9">
        <v>50</v>
      </c>
      <c r="E7" s="9">
        <v>0</v>
      </c>
      <c r="F7" s="9">
        <v>0</v>
      </c>
      <c r="G7" s="9">
        <v>50</v>
      </c>
      <c r="H7" s="9">
        <f t="shared" si="0"/>
        <v>5</v>
      </c>
      <c r="I7" s="15">
        <v>58</v>
      </c>
      <c r="J7" s="16"/>
      <c r="K7" s="16"/>
      <c r="L7" s="16"/>
      <c r="M7" s="16"/>
      <c r="N7" s="16"/>
      <c r="O7" s="17" t="str">
        <f>_xlfn.DISPIMG("ID_9E29C34F5F0C4983BEA18F93222BD755",1)</f>
        <v>=DISPIMG("ID_9E29C34F5F0C4983BEA18F93222BD755",1)</v>
      </c>
      <c r="P7" s="16"/>
    </row>
    <row r="8" ht="30" customHeight="1" spans="1:16">
      <c r="A8" s="9">
        <v>5</v>
      </c>
      <c r="B8" s="9">
        <v>21012012</v>
      </c>
      <c r="C8" s="9" t="s">
        <v>156</v>
      </c>
      <c r="D8" s="9">
        <v>50</v>
      </c>
      <c r="E8" s="9">
        <v>0</v>
      </c>
      <c r="F8" s="9">
        <v>0</v>
      </c>
      <c r="G8" s="9">
        <v>50</v>
      </c>
      <c r="H8" s="9">
        <f t="shared" si="0"/>
        <v>5</v>
      </c>
      <c r="I8" s="15">
        <v>58</v>
      </c>
      <c r="J8" s="16"/>
      <c r="K8" s="16"/>
      <c r="L8" s="16"/>
      <c r="M8" s="16"/>
      <c r="N8" s="16"/>
      <c r="O8" s="17" t="str">
        <f>_xlfn.DISPIMG("ID_0C839F862A664C029963589E7E4794FF",1)</f>
        <v>=DISPIMG("ID_0C839F862A664C029963589E7E4794FF",1)</v>
      </c>
      <c r="P8" s="16"/>
    </row>
    <row r="9" ht="30" customHeight="1" spans="1:16">
      <c r="A9" s="9">
        <v>6</v>
      </c>
      <c r="B9" s="9">
        <v>21012053</v>
      </c>
      <c r="C9" s="9" t="s">
        <v>232</v>
      </c>
      <c r="D9" s="9">
        <v>50</v>
      </c>
      <c r="E9" s="9">
        <v>0</v>
      </c>
      <c r="F9" s="9">
        <v>0</v>
      </c>
      <c r="G9" s="9">
        <v>50</v>
      </c>
      <c r="H9" s="9">
        <f t="shared" si="0"/>
        <v>5</v>
      </c>
      <c r="I9" s="15">
        <v>58</v>
      </c>
      <c r="J9" s="16"/>
      <c r="K9" s="16"/>
      <c r="L9" s="16"/>
      <c r="M9" s="16"/>
      <c r="N9" s="16"/>
      <c r="O9" s="17" t="str">
        <f>_xlfn.DISPIMG("ID_81E7EAB4B5BA4F6184E3D0BBA150608D",1)</f>
        <v>=DISPIMG("ID_81E7EAB4B5BA4F6184E3D0BBA150608D",1)</v>
      </c>
      <c r="P9" s="16"/>
    </row>
    <row r="10" ht="30" customHeight="1" spans="1:16">
      <c r="A10" s="9">
        <v>7</v>
      </c>
      <c r="B10" s="9">
        <v>21012079</v>
      </c>
      <c r="C10" s="9" t="s">
        <v>174</v>
      </c>
      <c r="D10" s="9">
        <v>50</v>
      </c>
      <c r="E10" s="9">
        <v>0</v>
      </c>
      <c r="F10" s="9">
        <v>0</v>
      </c>
      <c r="G10" s="9">
        <v>50</v>
      </c>
      <c r="H10" s="9">
        <f t="shared" si="0"/>
        <v>5</v>
      </c>
      <c r="I10" s="15">
        <v>58</v>
      </c>
      <c r="J10" s="16"/>
      <c r="K10" s="16"/>
      <c r="L10" s="16"/>
      <c r="M10" s="16"/>
      <c r="N10" s="16"/>
      <c r="O10" s="17" t="str">
        <f>_xlfn.DISPIMG("ID_87D21CDCA16E44118DE941A6434849DD",1)</f>
        <v>=DISPIMG("ID_87D21CDCA16E44118DE941A6434849DD",1)</v>
      </c>
      <c r="P10" s="16"/>
    </row>
    <row r="11" ht="30" customHeight="1" spans="1:16">
      <c r="A11" s="9">
        <v>8</v>
      </c>
      <c r="B11" s="9">
        <v>21012101</v>
      </c>
      <c r="C11" s="9" t="s">
        <v>219</v>
      </c>
      <c r="D11" s="9">
        <v>50</v>
      </c>
      <c r="E11" s="9">
        <v>0</v>
      </c>
      <c r="F11" s="9">
        <v>0</v>
      </c>
      <c r="G11" s="9">
        <v>50</v>
      </c>
      <c r="H11" s="9">
        <f t="shared" si="0"/>
        <v>5</v>
      </c>
      <c r="I11" s="15">
        <v>58</v>
      </c>
      <c r="J11" s="16"/>
      <c r="K11" s="16"/>
      <c r="L11" s="16"/>
      <c r="M11" s="16"/>
      <c r="N11" s="16"/>
      <c r="O11" s="17" t="str">
        <f>_xlfn.DISPIMG("ID_1735D640A5DA49EE8F64060DB78884E5",1)</f>
        <v>=DISPIMG("ID_1735D640A5DA49EE8F64060DB78884E5",1)</v>
      </c>
      <c r="P11" s="16"/>
    </row>
    <row r="12" ht="30" customHeight="1" spans="1:16">
      <c r="A12" s="9">
        <v>9</v>
      </c>
      <c r="B12" s="9">
        <v>21012128</v>
      </c>
      <c r="C12" s="9" t="s">
        <v>141</v>
      </c>
      <c r="D12" s="9">
        <v>50</v>
      </c>
      <c r="E12" s="9">
        <v>4</v>
      </c>
      <c r="F12" s="9">
        <v>0</v>
      </c>
      <c r="G12" s="9">
        <v>54</v>
      </c>
      <c r="H12" s="9">
        <f t="shared" si="0"/>
        <v>5.4</v>
      </c>
      <c r="I12" s="15">
        <v>45</v>
      </c>
      <c r="J12" s="16" t="s">
        <v>504</v>
      </c>
      <c r="K12" s="16"/>
      <c r="L12" s="16"/>
      <c r="M12" s="16"/>
      <c r="N12" s="16"/>
      <c r="O12" s="17" t="str">
        <f>_xlfn.DISPIMG("ID_5372E853EC7A45ECB1232CC24068C45D",1)</f>
        <v>=DISPIMG("ID_5372E853EC7A45ECB1232CC24068C45D",1)</v>
      </c>
      <c r="P12" s="16"/>
    </row>
    <row r="13" ht="30" customHeight="1" spans="1:16">
      <c r="A13" s="9">
        <v>10</v>
      </c>
      <c r="B13" s="9">
        <v>21012102</v>
      </c>
      <c r="C13" s="9" t="s">
        <v>78</v>
      </c>
      <c r="D13" s="9">
        <v>50</v>
      </c>
      <c r="E13" s="9">
        <v>0</v>
      </c>
      <c r="F13" s="9">
        <v>0</v>
      </c>
      <c r="G13" s="9">
        <v>50</v>
      </c>
      <c r="H13" s="9">
        <f t="shared" si="0"/>
        <v>5</v>
      </c>
      <c r="I13" s="15">
        <v>58</v>
      </c>
      <c r="J13" s="16"/>
      <c r="K13" s="16"/>
      <c r="L13" s="16"/>
      <c r="M13" s="16"/>
      <c r="N13" s="16"/>
      <c r="O13" s="17" t="str">
        <f>_xlfn.DISPIMG("ID_F9B1C80F5F334639B3AE9CD29B656ABC",1)</f>
        <v>=DISPIMG("ID_F9B1C80F5F334639B3AE9CD29B656ABC",1)</v>
      </c>
      <c r="P13" s="16"/>
    </row>
    <row r="14" ht="30" customHeight="1" spans="1:16">
      <c r="A14" s="9">
        <v>11</v>
      </c>
      <c r="B14" s="9">
        <v>21012093</v>
      </c>
      <c r="C14" s="9" t="s">
        <v>238</v>
      </c>
      <c r="D14" s="9">
        <v>50</v>
      </c>
      <c r="E14" s="9">
        <v>0</v>
      </c>
      <c r="F14" s="9">
        <v>0</v>
      </c>
      <c r="G14" s="9">
        <v>50</v>
      </c>
      <c r="H14" s="9">
        <f t="shared" si="0"/>
        <v>5</v>
      </c>
      <c r="I14" s="15">
        <v>58</v>
      </c>
      <c r="J14" s="16"/>
      <c r="K14" s="16"/>
      <c r="L14" s="16"/>
      <c r="M14" s="16"/>
      <c r="N14" s="16"/>
      <c r="O14" s="17" t="str">
        <f>_xlfn.DISPIMG("ID_91E52A1D90904F4DBBA2995715A7F88D",1)</f>
        <v>=DISPIMG("ID_91E52A1D90904F4DBBA2995715A7F88D",1)</v>
      </c>
      <c r="P14" s="16"/>
    </row>
    <row r="15" ht="30" customHeight="1" spans="1:16">
      <c r="A15" s="9">
        <v>12</v>
      </c>
      <c r="B15" s="9">
        <v>21012033</v>
      </c>
      <c r="C15" s="9" t="s">
        <v>288</v>
      </c>
      <c r="D15" s="9">
        <v>50</v>
      </c>
      <c r="E15" s="9">
        <v>0</v>
      </c>
      <c r="F15" s="9">
        <v>0</v>
      </c>
      <c r="G15" s="9">
        <v>50</v>
      </c>
      <c r="H15" s="9">
        <f t="shared" si="0"/>
        <v>5</v>
      </c>
      <c r="I15" s="15">
        <v>58</v>
      </c>
      <c r="J15" s="16"/>
      <c r="K15" s="16"/>
      <c r="L15" s="16"/>
      <c r="M15" s="16"/>
      <c r="N15" s="16"/>
      <c r="O15" s="17" t="str">
        <f>_xlfn.DISPIMG("ID_A3F66522628A404E81F03787679B656F",1)</f>
        <v>=DISPIMG("ID_A3F66522628A404E81F03787679B656F",1)</v>
      </c>
      <c r="P15" s="16"/>
    </row>
    <row r="16" ht="30" customHeight="1" spans="1:16">
      <c r="A16" s="9">
        <v>13</v>
      </c>
      <c r="B16" s="9">
        <v>21012154</v>
      </c>
      <c r="C16" s="9" t="s">
        <v>158</v>
      </c>
      <c r="D16" s="9">
        <v>50</v>
      </c>
      <c r="E16" s="9">
        <v>0</v>
      </c>
      <c r="F16" s="9">
        <v>0</v>
      </c>
      <c r="G16" s="9">
        <v>50</v>
      </c>
      <c r="H16" s="9">
        <f t="shared" si="0"/>
        <v>5</v>
      </c>
      <c r="I16" s="15">
        <v>58</v>
      </c>
      <c r="J16" s="16"/>
      <c r="K16" s="16"/>
      <c r="L16" s="16"/>
      <c r="M16" s="16"/>
      <c r="N16" s="16"/>
      <c r="O16" s="17" t="str">
        <f>_xlfn.DISPIMG("ID_1605796E3E1A48B38CC389A4767902B1",1)</f>
        <v>=DISPIMG("ID_1605796E3E1A48B38CC389A4767902B1",1)</v>
      </c>
      <c r="P16" s="16"/>
    </row>
    <row r="17" ht="30" customHeight="1" spans="1:16">
      <c r="A17" s="9">
        <v>14</v>
      </c>
      <c r="B17" s="9">
        <v>21012001</v>
      </c>
      <c r="C17" s="9" t="s">
        <v>86</v>
      </c>
      <c r="D17" s="9">
        <v>50</v>
      </c>
      <c r="E17" s="9">
        <v>18</v>
      </c>
      <c r="F17" s="9">
        <v>0</v>
      </c>
      <c r="G17" s="9">
        <v>68</v>
      </c>
      <c r="H17" s="9">
        <f t="shared" si="0"/>
        <v>6.8</v>
      </c>
      <c r="I17" s="15">
        <v>15</v>
      </c>
      <c r="J17" s="18" t="s">
        <v>505</v>
      </c>
      <c r="K17" s="18"/>
      <c r="L17" s="18"/>
      <c r="M17" s="18"/>
      <c r="N17" s="18"/>
      <c r="O17" s="17" t="str">
        <f>_xlfn.DISPIMG("ID_97ACCF2C812546D78854E9CC80109562",1)</f>
        <v>=DISPIMG("ID_97ACCF2C812546D78854E9CC80109562",1)</v>
      </c>
      <c r="P17" s="16"/>
    </row>
    <row r="18" s="1" customFormat="1" ht="30" customHeight="1" spans="1:16">
      <c r="A18" s="9">
        <v>15</v>
      </c>
      <c r="B18" s="10">
        <v>21012096</v>
      </c>
      <c r="C18" s="10" t="s">
        <v>215</v>
      </c>
      <c r="D18" s="10">
        <v>50</v>
      </c>
      <c r="E18" s="10">
        <v>10</v>
      </c>
      <c r="F18" s="10">
        <v>0</v>
      </c>
      <c r="G18" s="10">
        <v>60</v>
      </c>
      <c r="H18" s="9">
        <f t="shared" si="0"/>
        <v>6</v>
      </c>
      <c r="I18" s="15">
        <v>21</v>
      </c>
      <c r="J18" s="19" t="s">
        <v>506</v>
      </c>
      <c r="K18" s="19"/>
      <c r="L18" s="19"/>
      <c r="M18" s="19"/>
      <c r="N18" s="19"/>
      <c r="O18" s="16" t="str">
        <f>_xlfn.DISPIMG("ID_D6D1C95FA72545CDB236760FA3BB4993",1)</f>
        <v>=DISPIMG("ID_D6D1C95FA72545CDB236760FA3BB4993",1)</v>
      </c>
      <c r="P18" s="19"/>
    </row>
    <row r="19" ht="30" customHeight="1" spans="1:16">
      <c r="A19" s="9">
        <v>16</v>
      </c>
      <c r="B19" s="9">
        <v>21012054</v>
      </c>
      <c r="C19" s="9" t="s">
        <v>198</v>
      </c>
      <c r="D19" s="9">
        <v>50</v>
      </c>
      <c r="E19" s="9">
        <v>0</v>
      </c>
      <c r="F19" s="9">
        <v>0</v>
      </c>
      <c r="G19" s="9">
        <v>50</v>
      </c>
      <c r="H19" s="9">
        <f t="shared" si="0"/>
        <v>5</v>
      </c>
      <c r="I19" s="15">
        <v>58</v>
      </c>
      <c r="J19" s="16"/>
      <c r="K19" s="16"/>
      <c r="L19" s="16"/>
      <c r="M19" s="16"/>
      <c r="N19" s="16"/>
      <c r="O19" s="16" t="str">
        <f>_xlfn.DISPIMG("ID_CB9124AFDCD8499AA7C8DA3C0B4E92EC",1)</f>
        <v>=DISPIMG("ID_CB9124AFDCD8499AA7C8DA3C0B4E92EC",1)</v>
      </c>
      <c r="P19" s="16"/>
    </row>
    <row r="20" ht="30" customHeight="1" spans="1:16">
      <c r="A20" s="9">
        <v>17</v>
      </c>
      <c r="B20" s="9">
        <v>21012131</v>
      </c>
      <c r="C20" s="9" t="s">
        <v>90</v>
      </c>
      <c r="D20" s="9">
        <v>50</v>
      </c>
      <c r="E20" s="9">
        <v>10</v>
      </c>
      <c r="F20" s="9">
        <v>0</v>
      </c>
      <c r="G20" s="9">
        <v>60</v>
      </c>
      <c r="H20" s="9">
        <f t="shared" si="0"/>
        <v>6</v>
      </c>
      <c r="I20" s="15">
        <v>21</v>
      </c>
      <c r="J20" s="16" t="s">
        <v>507</v>
      </c>
      <c r="K20" s="16"/>
      <c r="L20" s="16"/>
      <c r="M20" s="16"/>
      <c r="N20" s="16"/>
      <c r="O20" s="17" t="str">
        <f>_xlfn.DISPIMG("ID_FD4B1C87DA8E42BDA81BD5E38279DBE6",1)</f>
        <v>=DISPIMG("ID_FD4B1C87DA8E42BDA81BD5E38279DBE6",1)</v>
      </c>
      <c r="P20" s="16"/>
    </row>
    <row r="21" ht="30" customHeight="1" spans="1:16">
      <c r="A21" s="9">
        <v>18</v>
      </c>
      <c r="B21" s="9">
        <v>21012143</v>
      </c>
      <c r="C21" s="9" t="s">
        <v>113</v>
      </c>
      <c r="D21" s="9">
        <v>50</v>
      </c>
      <c r="E21" s="9">
        <v>0</v>
      </c>
      <c r="F21" s="9">
        <v>0</v>
      </c>
      <c r="G21" s="9">
        <v>50</v>
      </c>
      <c r="H21" s="9">
        <f t="shared" si="0"/>
        <v>5</v>
      </c>
      <c r="I21" s="15">
        <v>58</v>
      </c>
      <c r="J21" s="16"/>
      <c r="K21" s="16"/>
      <c r="L21" s="16"/>
      <c r="M21" s="16"/>
      <c r="N21" s="16"/>
      <c r="O21" s="17" t="str">
        <f>_xlfn.DISPIMG("ID_BAEB1F49AB0D4522A452FE114611C02A",1)</f>
        <v>=DISPIMG("ID_BAEB1F49AB0D4522A452FE114611C02A",1)</v>
      </c>
      <c r="P21" s="16"/>
    </row>
    <row r="22" ht="30" customHeight="1" spans="1:16">
      <c r="A22" s="9">
        <v>19</v>
      </c>
      <c r="B22" s="9">
        <v>21012078</v>
      </c>
      <c r="C22" s="9" t="s">
        <v>167</v>
      </c>
      <c r="D22" s="9">
        <v>50</v>
      </c>
      <c r="E22" s="9">
        <v>0</v>
      </c>
      <c r="F22" s="9">
        <v>0</v>
      </c>
      <c r="G22" s="9">
        <v>50</v>
      </c>
      <c r="H22" s="9">
        <f t="shared" si="0"/>
        <v>5</v>
      </c>
      <c r="I22" s="15">
        <v>58</v>
      </c>
      <c r="J22" s="16"/>
      <c r="K22" s="16"/>
      <c r="L22" s="16"/>
      <c r="M22" s="16"/>
      <c r="N22" s="16"/>
      <c r="O22" s="17" t="str">
        <f>_xlfn.DISPIMG("ID_2C4D2DA37134483AA3780C4F791F8EB2",1)</f>
        <v>=DISPIMG("ID_2C4D2DA37134483AA3780C4F791F8EB2",1)</v>
      </c>
      <c r="P22" s="16"/>
    </row>
    <row r="23" ht="30" customHeight="1" spans="1:16">
      <c r="A23" s="9">
        <v>20</v>
      </c>
      <c r="B23" s="9">
        <v>21012113</v>
      </c>
      <c r="C23" s="9" t="s">
        <v>178</v>
      </c>
      <c r="D23" s="9">
        <v>50</v>
      </c>
      <c r="E23" s="9">
        <v>0</v>
      </c>
      <c r="F23" s="9">
        <v>0</v>
      </c>
      <c r="G23" s="9">
        <v>50</v>
      </c>
      <c r="H23" s="9">
        <f t="shared" si="0"/>
        <v>5</v>
      </c>
      <c r="I23" s="15">
        <v>58</v>
      </c>
      <c r="J23" s="16"/>
      <c r="K23" s="16"/>
      <c r="L23" s="16"/>
      <c r="M23" s="16"/>
      <c r="N23" s="16"/>
      <c r="O23" s="17" t="str">
        <f>_xlfn.DISPIMG("ID_D84BBA745712481AA8F0E26A934F5C81",1)</f>
        <v>=DISPIMG("ID_D84BBA745712481AA8F0E26A934F5C81",1)</v>
      </c>
      <c r="P23" s="16"/>
    </row>
    <row r="24" ht="30" customHeight="1" spans="1:16">
      <c r="A24" s="9">
        <v>21</v>
      </c>
      <c r="B24" s="9">
        <v>20002033</v>
      </c>
      <c r="C24" s="9" t="s">
        <v>105</v>
      </c>
      <c r="D24" s="9">
        <v>50</v>
      </c>
      <c r="E24" s="9">
        <v>0</v>
      </c>
      <c r="F24" s="9">
        <v>0</v>
      </c>
      <c r="G24" s="9">
        <v>50</v>
      </c>
      <c r="H24" s="9">
        <f t="shared" si="0"/>
        <v>5</v>
      </c>
      <c r="I24" s="15">
        <v>58</v>
      </c>
      <c r="J24" s="16"/>
      <c r="K24" s="16"/>
      <c r="L24" s="16"/>
      <c r="M24" s="16"/>
      <c r="N24" s="16"/>
      <c r="O24" s="17" t="str">
        <f>_xlfn.DISPIMG("ID_08B050D2775D49F4A8F3C98C29DD1DDA",1)</f>
        <v>=DISPIMG("ID_08B050D2775D49F4A8F3C98C29DD1DDA",1)</v>
      </c>
      <c r="P24" s="16"/>
    </row>
    <row r="25" ht="30" customHeight="1" spans="1:16">
      <c r="A25" s="9">
        <v>22</v>
      </c>
      <c r="B25" s="9">
        <v>21012142</v>
      </c>
      <c r="C25" s="9" t="s">
        <v>188</v>
      </c>
      <c r="D25" s="9">
        <v>50</v>
      </c>
      <c r="E25" s="9">
        <v>3</v>
      </c>
      <c r="F25" s="9">
        <v>0</v>
      </c>
      <c r="G25" s="9">
        <v>53</v>
      </c>
      <c r="H25" s="9">
        <f t="shared" si="0"/>
        <v>5.3</v>
      </c>
      <c r="I25" s="15">
        <v>50</v>
      </c>
      <c r="J25" s="16" t="s">
        <v>508</v>
      </c>
      <c r="K25" s="16"/>
      <c r="L25" s="16"/>
      <c r="M25" s="16"/>
      <c r="N25" s="16"/>
      <c r="O25" s="17" t="str">
        <f>_xlfn.DISPIMG("ID_42144FEB54594847A617F6CEF997C8DD",1)</f>
        <v>=DISPIMG("ID_42144FEB54594847A617F6CEF997C8DD",1)</v>
      </c>
      <c r="P25" s="16"/>
    </row>
    <row r="26" ht="30" customHeight="1" spans="1:16">
      <c r="A26" s="9">
        <v>23</v>
      </c>
      <c r="B26" s="9">
        <v>21012127</v>
      </c>
      <c r="C26" s="9" t="s">
        <v>92</v>
      </c>
      <c r="D26" s="9">
        <v>50</v>
      </c>
      <c r="E26" s="9">
        <v>0</v>
      </c>
      <c r="F26" s="9">
        <v>0</v>
      </c>
      <c r="G26" s="9">
        <v>50</v>
      </c>
      <c r="H26" s="9">
        <f t="shared" si="0"/>
        <v>5</v>
      </c>
      <c r="I26" s="15">
        <v>58</v>
      </c>
      <c r="J26" s="16"/>
      <c r="K26" s="16"/>
      <c r="L26" s="16"/>
      <c r="M26" s="16"/>
      <c r="N26" s="16"/>
      <c r="O26" s="17" t="str">
        <f>_xlfn.DISPIMG("ID_BA61EB51BBFE4035B680B7197EFE732F",1)</f>
        <v>=DISPIMG("ID_BA61EB51BBFE4035B680B7197EFE732F",1)</v>
      </c>
      <c r="P26" s="16"/>
    </row>
    <row r="27" ht="30" customHeight="1" spans="1:16">
      <c r="A27" s="9">
        <v>24</v>
      </c>
      <c r="B27" s="9">
        <v>21012064</v>
      </c>
      <c r="C27" s="9" t="s">
        <v>70</v>
      </c>
      <c r="D27" s="9">
        <v>50</v>
      </c>
      <c r="E27" s="9">
        <v>0</v>
      </c>
      <c r="F27" s="9">
        <v>0</v>
      </c>
      <c r="G27" s="9">
        <v>50</v>
      </c>
      <c r="H27" s="9">
        <f t="shared" si="0"/>
        <v>5</v>
      </c>
      <c r="I27" s="15">
        <v>58</v>
      </c>
      <c r="J27" s="16"/>
      <c r="K27" s="16"/>
      <c r="L27" s="16"/>
      <c r="M27" s="16"/>
      <c r="N27" s="16"/>
      <c r="O27" s="3" t="str">
        <f>_xlfn.DISPIMG("ID_951F67A02B174399BD38EFD4516794BC",1)</f>
        <v>=DISPIMG("ID_951F67A02B174399BD38EFD4516794BC",1)</v>
      </c>
      <c r="P27" s="16"/>
    </row>
    <row r="28" ht="30" customHeight="1" spans="1:16">
      <c r="A28" s="9">
        <v>25</v>
      </c>
      <c r="B28" s="9">
        <v>21012044</v>
      </c>
      <c r="C28" s="9" t="s">
        <v>96</v>
      </c>
      <c r="D28" s="9">
        <v>50</v>
      </c>
      <c r="E28" s="11">
        <v>37</v>
      </c>
      <c r="F28" s="11">
        <v>0</v>
      </c>
      <c r="G28" s="11">
        <v>87</v>
      </c>
      <c r="H28" s="9">
        <f t="shared" si="0"/>
        <v>8.7</v>
      </c>
      <c r="I28" s="15">
        <v>6</v>
      </c>
      <c r="J28" s="16" t="s">
        <v>509</v>
      </c>
      <c r="K28" s="16"/>
      <c r="L28" s="16"/>
      <c r="M28" s="16"/>
      <c r="N28" s="16"/>
      <c r="O28" s="3" t="str">
        <f>_xlfn.DISPIMG("ID_769524B6DABE4FE3A0282D1FD4132F44",1)</f>
        <v>=DISPIMG("ID_769524B6DABE4FE3A0282D1FD4132F44",1)</v>
      </c>
      <c r="P28" s="16"/>
    </row>
    <row r="29" ht="30" customHeight="1" spans="1:16">
      <c r="A29" s="9">
        <v>26</v>
      </c>
      <c r="B29" s="9">
        <v>21012043</v>
      </c>
      <c r="C29" s="9" t="s">
        <v>68</v>
      </c>
      <c r="D29" s="9">
        <v>50</v>
      </c>
      <c r="E29" s="9">
        <v>15</v>
      </c>
      <c r="F29" s="9">
        <v>0</v>
      </c>
      <c r="G29" s="9">
        <v>65</v>
      </c>
      <c r="H29" s="9">
        <f t="shared" ref="H29:H40" si="1">G29*0.1</f>
        <v>6.5</v>
      </c>
      <c r="I29" s="15">
        <v>17</v>
      </c>
      <c r="J29" s="18" t="s">
        <v>510</v>
      </c>
      <c r="K29" s="18"/>
      <c r="L29" s="18"/>
      <c r="M29" s="18"/>
      <c r="N29" s="18"/>
      <c r="O29" s="17" t="str">
        <f>_xlfn.DISPIMG("ID_B6E45280C125487B8175108FCF9CCE47",1)</f>
        <v>=DISPIMG("ID_B6E45280C125487B8175108FCF9CCE47",1)</v>
      </c>
      <c r="P29" s="16"/>
    </row>
    <row r="30" ht="30" customHeight="1" spans="1:16">
      <c r="A30" s="9">
        <v>27</v>
      </c>
      <c r="B30" s="9">
        <v>21012011</v>
      </c>
      <c r="C30" s="9" t="s">
        <v>147</v>
      </c>
      <c r="D30" s="9">
        <v>50</v>
      </c>
      <c r="E30" s="9">
        <v>3</v>
      </c>
      <c r="F30" s="9">
        <v>0</v>
      </c>
      <c r="G30" s="9">
        <v>53</v>
      </c>
      <c r="H30" s="9">
        <f t="shared" si="1"/>
        <v>5.3</v>
      </c>
      <c r="I30" s="15">
        <v>50</v>
      </c>
      <c r="J30" s="16" t="s">
        <v>511</v>
      </c>
      <c r="K30" s="16"/>
      <c r="L30" s="16"/>
      <c r="M30" s="16"/>
      <c r="N30" s="16"/>
      <c r="O30" s="17" t="str">
        <f>_xlfn.DISPIMG("ID_AB5F1EF44D434A53AF212CD00EDFCA9B",1)</f>
        <v>=DISPIMG("ID_AB5F1EF44D434A53AF212CD00EDFCA9B",1)</v>
      </c>
      <c r="P30" s="16"/>
    </row>
    <row r="31" ht="30" customHeight="1" spans="1:16">
      <c r="A31" s="9">
        <v>28</v>
      </c>
      <c r="B31" s="9">
        <v>21012022</v>
      </c>
      <c r="C31" s="9" t="s">
        <v>121</v>
      </c>
      <c r="D31" s="9">
        <v>50</v>
      </c>
      <c r="E31" s="9">
        <v>0</v>
      </c>
      <c r="F31" s="9">
        <v>0</v>
      </c>
      <c r="G31" s="9">
        <v>50</v>
      </c>
      <c r="H31" s="9">
        <f t="shared" si="1"/>
        <v>5</v>
      </c>
      <c r="I31" s="15">
        <v>58</v>
      </c>
      <c r="J31" s="16"/>
      <c r="K31" s="16"/>
      <c r="L31" s="16"/>
      <c r="M31" s="16"/>
      <c r="N31" s="16"/>
      <c r="O31" s="17" t="str">
        <f>_xlfn.DISPIMG("ID_0CFE9FC8DA1E4AB8A6762270EF8A4E82",1)</f>
        <v>=DISPIMG("ID_0CFE9FC8DA1E4AB8A6762270EF8A4E82",1)</v>
      </c>
      <c r="P31" s="16"/>
    </row>
    <row r="32" ht="30" customHeight="1" spans="1:16">
      <c r="A32" s="9">
        <v>29</v>
      </c>
      <c r="B32" s="9">
        <v>21012147</v>
      </c>
      <c r="C32" s="9" t="s">
        <v>322</v>
      </c>
      <c r="D32" s="9">
        <v>50</v>
      </c>
      <c r="E32" s="9">
        <v>0</v>
      </c>
      <c r="F32" s="9">
        <v>0</v>
      </c>
      <c r="G32" s="9">
        <v>50</v>
      </c>
      <c r="H32" s="9">
        <f t="shared" si="1"/>
        <v>5</v>
      </c>
      <c r="I32" s="15">
        <v>58</v>
      </c>
      <c r="J32" s="16"/>
      <c r="K32" s="16"/>
      <c r="L32" s="16"/>
      <c r="M32" s="16"/>
      <c r="N32" s="16"/>
      <c r="O32" s="17" t="str">
        <f>_xlfn.DISPIMG("ID_4E2DC036D9044AFCBCB953D14A90AA37",1)</f>
        <v>=DISPIMG("ID_4E2DC036D9044AFCBCB953D14A90AA37",1)</v>
      </c>
      <c r="P32" s="16"/>
    </row>
    <row r="33" ht="30" customHeight="1" spans="1:16">
      <c r="A33" s="9">
        <v>30</v>
      </c>
      <c r="B33" s="9">
        <v>21012114</v>
      </c>
      <c r="C33" s="9" t="s">
        <v>223</v>
      </c>
      <c r="D33" s="9">
        <v>50</v>
      </c>
      <c r="E33" s="9">
        <v>0</v>
      </c>
      <c r="F33" s="9">
        <v>0</v>
      </c>
      <c r="G33" s="9">
        <v>50</v>
      </c>
      <c r="H33" s="9">
        <f t="shared" si="1"/>
        <v>5</v>
      </c>
      <c r="I33" s="15">
        <v>58</v>
      </c>
      <c r="J33" s="16"/>
      <c r="K33" s="16"/>
      <c r="L33" s="16"/>
      <c r="M33" s="16"/>
      <c r="N33" s="16"/>
      <c r="O33" s="17" t="str">
        <f>_xlfn.DISPIMG("ID_8EF37FF9D508494CA9352F36F92A123C",1)</f>
        <v>=DISPIMG("ID_8EF37FF9D508494CA9352F36F92A123C",1)</v>
      </c>
      <c r="P33" s="16"/>
    </row>
    <row r="34" ht="30" customHeight="1" spans="1:16">
      <c r="A34" s="9">
        <v>31</v>
      </c>
      <c r="B34" s="9">
        <v>21012159</v>
      </c>
      <c r="C34" s="9" t="s">
        <v>165</v>
      </c>
      <c r="D34" s="9">
        <v>56</v>
      </c>
      <c r="E34" s="9">
        <v>6</v>
      </c>
      <c r="F34" s="9">
        <v>0</v>
      </c>
      <c r="G34" s="9">
        <v>56</v>
      </c>
      <c r="H34" s="9">
        <f t="shared" si="1"/>
        <v>5.6</v>
      </c>
      <c r="I34" s="15">
        <v>38</v>
      </c>
      <c r="J34" s="16" t="s">
        <v>512</v>
      </c>
      <c r="K34" s="16"/>
      <c r="L34" s="16"/>
      <c r="M34" s="16"/>
      <c r="N34" s="16"/>
      <c r="O34" s="17" t="str">
        <f>_xlfn.DISPIMG("ID_5DC7A3FC9B64436E96D912B12BD95C99",1)</f>
        <v>=DISPIMG("ID_5DC7A3FC9B64436E96D912B12BD95C99",1)</v>
      </c>
      <c r="P34" s="16"/>
    </row>
    <row r="35" ht="30" customHeight="1" spans="1:16">
      <c r="A35" s="9">
        <v>32</v>
      </c>
      <c r="B35" s="9">
        <v>21012032</v>
      </c>
      <c r="C35" s="9" t="s">
        <v>252</v>
      </c>
      <c r="D35" s="9">
        <v>50</v>
      </c>
      <c r="E35" s="9">
        <v>9</v>
      </c>
      <c r="F35" s="9">
        <v>0</v>
      </c>
      <c r="G35" s="9">
        <v>59</v>
      </c>
      <c r="H35" s="9">
        <f t="shared" si="1"/>
        <v>5.9</v>
      </c>
      <c r="I35" s="15">
        <v>27</v>
      </c>
      <c r="J35" s="18" t="s">
        <v>513</v>
      </c>
      <c r="K35" s="18"/>
      <c r="L35" s="18"/>
      <c r="M35" s="18"/>
      <c r="N35" s="18"/>
      <c r="O35" s="17" t="str">
        <f>_xlfn.DISPIMG("ID_C63C45AC8545441FA9AA27465EE8F066",1)</f>
        <v>=DISPIMG("ID_C63C45AC8545441FA9AA27465EE8F066",1)</v>
      </c>
      <c r="P35" s="16"/>
    </row>
    <row r="36" ht="30" customHeight="1" spans="1:16">
      <c r="A36" s="9">
        <v>33</v>
      </c>
      <c r="B36" s="9">
        <v>21012023</v>
      </c>
      <c r="C36" s="9" t="s">
        <v>275</v>
      </c>
      <c r="D36" s="9">
        <v>50</v>
      </c>
      <c r="E36" s="9">
        <v>0</v>
      </c>
      <c r="F36" s="9">
        <v>0</v>
      </c>
      <c r="G36" s="9">
        <v>50</v>
      </c>
      <c r="H36" s="9">
        <f t="shared" si="1"/>
        <v>5</v>
      </c>
      <c r="I36" s="15">
        <v>58</v>
      </c>
      <c r="J36" s="16"/>
      <c r="K36" s="16"/>
      <c r="L36" s="16"/>
      <c r="M36" s="16"/>
      <c r="N36" s="16"/>
      <c r="O36" s="17" t="str">
        <f>_xlfn.DISPIMG("ID_215FB429F97C468D85633AA4B3028691",1)</f>
        <v>=DISPIMG("ID_215FB429F97C468D85633AA4B3028691",1)</v>
      </c>
      <c r="P36" s="16"/>
    </row>
    <row r="37" ht="30" customHeight="1" spans="1:16">
      <c r="A37" s="9">
        <v>34</v>
      </c>
      <c r="B37" s="9">
        <v>21012089</v>
      </c>
      <c r="C37" s="9" t="s">
        <v>151</v>
      </c>
      <c r="D37" s="9">
        <v>50</v>
      </c>
      <c r="E37" s="9">
        <v>0</v>
      </c>
      <c r="F37" s="9">
        <v>0</v>
      </c>
      <c r="G37" s="9">
        <v>50</v>
      </c>
      <c r="H37" s="9">
        <f t="shared" si="1"/>
        <v>5</v>
      </c>
      <c r="I37" s="15">
        <v>58</v>
      </c>
      <c r="J37" s="16"/>
      <c r="K37" s="16"/>
      <c r="L37" s="16"/>
      <c r="M37" s="16"/>
      <c r="N37" s="16"/>
      <c r="O37" s="17" t="str">
        <f>_xlfn.DISPIMG("ID_FDBA2CA1BF05400796482783B541BCE4",1)</f>
        <v>=DISPIMG("ID_FDBA2CA1BF05400796482783B541BCE4",1)</v>
      </c>
      <c r="P37" s="20"/>
    </row>
    <row r="38" ht="30" customHeight="1" spans="1:16">
      <c r="A38" s="9">
        <v>35</v>
      </c>
      <c r="B38" s="12">
        <v>21012002</v>
      </c>
      <c r="C38" s="12" t="s">
        <v>255</v>
      </c>
      <c r="D38" s="9">
        <v>50</v>
      </c>
      <c r="E38" s="9">
        <v>0</v>
      </c>
      <c r="F38" s="9">
        <v>0</v>
      </c>
      <c r="G38" s="9">
        <v>50</v>
      </c>
      <c r="H38" s="9">
        <f t="shared" si="1"/>
        <v>5</v>
      </c>
      <c r="I38" s="15">
        <v>58</v>
      </c>
      <c r="J38" s="16"/>
      <c r="K38" s="16"/>
      <c r="L38" s="16"/>
      <c r="M38" s="16"/>
      <c r="N38" s="16"/>
      <c r="O38" s="21" t="str">
        <f>_xlfn.DISPIMG("ID_7F19F2AAF1BE4D6F90B042FF901E566C",1)</f>
        <v>=DISPIMG("ID_7F19F2AAF1BE4D6F90B042FF901E566C",1)</v>
      </c>
      <c r="P38" s="22"/>
    </row>
    <row r="39" ht="30" customHeight="1" spans="1:16">
      <c r="A39" s="9">
        <v>36</v>
      </c>
      <c r="B39" s="12">
        <v>21012010</v>
      </c>
      <c r="C39" s="12" t="s">
        <v>281</v>
      </c>
      <c r="D39" s="9">
        <v>50</v>
      </c>
      <c r="E39" s="9">
        <v>0</v>
      </c>
      <c r="F39" s="9">
        <v>0</v>
      </c>
      <c r="G39" s="9">
        <v>50</v>
      </c>
      <c r="H39" s="9">
        <f t="shared" si="1"/>
        <v>5</v>
      </c>
      <c r="I39" s="15">
        <v>58</v>
      </c>
      <c r="J39" s="16"/>
      <c r="K39" s="16"/>
      <c r="L39" s="16"/>
      <c r="M39" s="16"/>
      <c r="N39" s="16"/>
      <c r="O39" s="21" t="str">
        <f>_xlfn.DISPIMG("ID_1806B7082D8147BE84DFEB0CB134926D",1)</f>
        <v>=DISPIMG("ID_1806B7082D8147BE84DFEB0CB134926D",1)</v>
      </c>
      <c r="P39" s="22"/>
    </row>
    <row r="40" ht="30" customHeight="1" spans="1:16">
      <c r="A40" s="9">
        <v>37</v>
      </c>
      <c r="B40" s="12">
        <v>2012013</v>
      </c>
      <c r="C40" s="12" t="s">
        <v>101</v>
      </c>
      <c r="D40" s="9">
        <v>50</v>
      </c>
      <c r="E40" s="9">
        <v>0</v>
      </c>
      <c r="F40" s="9">
        <v>0</v>
      </c>
      <c r="G40" s="9">
        <v>50</v>
      </c>
      <c r="H40" s="9">
        <f t="shared" si="1"/>
        <v>5</v>
      </c>
      <c r="I40" s="15">
        <v>58</v>
      </c>
      <c r="J40" s="16"/>
      <c r="K40" s="16"/>
      <c r="L40" s="16"/>
      <c r="M40" s="16"/>
      <c r="N40" s="16"/>
      <c r="O40" s="21" t="str">
        <f>_xlfn.DISPIMG("ID_3D585C203D2E42619105D844EDBA6E41",1)</f>
        <v>=DISPIMG("ID_3D585C203D2E42619105D844EDBA6E41",1)</v>
      </c>
      <c r="P40" s="22"/>
    </row>
    <row r="41" ht="30" customHeight="1" spans="1:16">
      <c r="A41" s="9">
        <v>38</v>
      </c>
      <c r="B41" s="10">
        <v>21012020</v>
      </c>
      <c r="C41" s="12" t="s">
        <v>302</v>
      </c>
      <c r="D41" s="9">
        <v>50</v>
      </c>
      <c r="E41" s="9">
        <v>0</v>
      </c>
      <c r="F41" s="9">
        <v>0</v>
      </c>
      <c r="G41" s="9">
        <v>50</v>
      </c>
      <c r="H41" s="9">
        <f t="shared" ref="H41:H66" si="2">G41*0.1</f>
        <v>5</v>
      </c>
      <c r="I41" s="15">
        <v>58</v>
      </c>
      <c r="J41" s="16"/>
      <c r="K41" s="16"/>
      <c r="L41" s="16"/>
      <c r="M41" s="16"/>
      <c r="N41" s="16"/>
      <c r="O41" s="21" t="str">
        <f>_xlfn.DISPIMG("ID_6235E1B08C9B41CCBE6C040F1FF5CD05",1)</f>
        <v>=DISPIMG("ID_6235E1B08C9B41CCBE6C040F1FF5CD05",1)</v>
      </c>
      <c r="P41" s="22"/>
    </row>
    <row r="42" ht="30" customHeight="1" spans="1:16">
      <c r="A42" s="9">
        <v>39</v>
      </c>
      <c r="B42" s="10">
        <v>21012021</v>
      </c>
      <c r="C42" s="12" t="s">
        <v>209</v>
      </c>
      <c r="D42" s="9">
        <v>50</v>
      </c>
      <c r="E42" s="9">
        <v>0</v>
      </c>
      <c r="F42" s="9">
        <v>0</v>
      </c>
      <c r="G42" s="9">
        <v>50</v>
      </c>
      <c r="H42" s="9">
        <f t="shared" si="2"/>
        <v>5</v>
      </c>
      <c r="I42" s="15">
        <v>58</v>
      </c>
      <c r="J42" s="16"/>
      <c r="K42" s="16"/>
      <c r="L42" s="16"/>
      <c r="M42" s="16"/>
      <c r="N42" s="16"/>
      <c r="O42" s="21" t="str">
        <f>_xlfn.DISPIMG("ID_2135E4B25E50455AB1C5B7E260938F8E",1)</f>
        <v>=DISPIMG("ID_2135E4B25E50455AB1C5B7E260938F8E",1)</v>
      </c>
      <c r="P42" s="22"/>
    </row>
    <row r="43" ht="30" customHeight="1" spans="1:16">
      <c r="A43" s="9">
        <v>40</v>
      </c>
      <c r="B43" s="10">
        <v>21012024</v>
      </c>
      <c r="C43" s="12" t="s">
        <v>265</v>
      </c>
      <c r="D43" s="9">
        <v>50</v>
      </c>
      <c r="E43" s="9">
        <v>0</v>
      </c>
      <c r="F43" s="9">
        <v>0</v>
      </c>
      <c r="G43" s="9">
        <v>50</v>
      </c>
      <c r="H43" s="9">
        <f t="shared" si="2"/>
        <v>5</v>
      </c>
      <c r="I43" s="15">
        <v>58</v>
      </c>
      <c r="J43" s="16"/>
      <c r="K43" s="16"/>
      <c r="L43" s="16"/>
      <c r="M43" s="16"/>
      <c r="N43" s="16"/>
      <c r="O43" s="21" t="str">
        <f>_xlfn.DISPIMG("ID_C1B3B97AE1F94027BDF4A7D5B9765F9D",1)</f>
        <v>=DISPIMG("ID_C1B3B97AE1F94027BDF4A7D5B9765F9D",1)</v>
      </c>
      <c r="P43" s="22"/>
    </row>
    <row r="44" ht="30" customHeight="1" spans="1:16">
      <c r="A44" s="9">
        <v>41</v>
      </c>
      <c r="B44" s="10">
        <v>21012031</v>
      </c>
      <c r="C44" s="12" t="s">
        <v>135</v>
      </c>
      <c r="D44" s="9">
        <v>50</v>
      </c>
      <c r="E44" s="9">
        <v>0</v>
      </c>
      <c r="F44" s="9">
        <v>0</v>
      </c>
      <c r="G44" s="9">
        <v>50</v>
      </c>
      <c r="H44" s="9">
        <f t="shared" si="2"/>
        <v>5</v>
      </c>
      <c r="I44" s="15">
        <v>58</v>
      </c>
      <c r="J44" s="16"/>
      <c r="K44" s="16"/>
      <c r="L44" s="16"/>
      <c r="M44" s="16"/>
      <c r="N44" s="16"/>
      <c r="O44" s="21" t="str">
        <f>_xlfn.DISPIMG("ID_EAC40774C7724601807912C3943B060B",1)</f>
        <v>=DISPIMG("ID_EAC40774C7724601807912C3943B060B",1)</v>
      </c>
      <c r="P44" s="22"/>
    </row>
    <row r="45" ht="30" customHeight="1" spans="1:16">
      <c r="A45" s="9">
        <v>42</v>
      </c>
      <c r="B45" s="10">
        <v>21012035</v>
      </c>
      <c r="C45" s="12" t="s">
        <v>44</v>
      </c>
      <c r="D45" s="9">
        <v>50</v>
      </c>
      <c r="E45" s="9">
        <v>11.5</v>
      </c>
      <c r="F45" s="9">
        <v>0</v>
      </c>
      <c r="G45" s="9">
        <v>61.5</v>
      </c>
      <c r="H45" s="9">
        <f t="shared" si="2"/>
        <v>6.15</v>
      </c>
      <c r="I45" s="15">
        <v>20</v>
      </c>
      <c r="J45" s="18" t="s">
        <v>514</v>
      </c>
      <c r="K45" s="18"/>
      <c r="L45" s="18"/>
      <c r="M45" s="18"/>
      <c r="N45" s="18"/>
      <c r="O45" s="21" t="str">
        <f>_xlfn.DISPIMG("ID_3D21938855124DF68B188B390CAAF63A",1)</f>
        <v>=DISPIMG("ID_3D21938855124DF68B188B390CAAF63A",1)</v>
      </c>
      <c r="P45" s="22"/>
    </row>
    <row r="46" ht="30" customHeight="1" spans="1:16">
      <c r="A46" s="9">
        <v>43</v>
      </c>
      <c r="B46" s="10">
        <v>21012042</v>
      </c>
      <c r="C46" s="12" t="s">
        <v>171</v>
      </c>
      <c r="D46" s="9">
        <v>50</v>
      </c>
      <c r="E46" s="9">
        <v>0</v>
      </c>
      <c r="F46" s="9">
        <v>0</v>
      </c>
      <c r="G46" s="9">
        <v>50</v>
      </c>
      <c r="H46" s="9">
        <f t="shared" si="2"/>
        <v>5</v>
      </c>
      <c r="I46" s="15">
        <v>58</v>
      </c>
      <c r="J46" s="16"/>
      <c r="K46" s="16"/>
      <c r="L46" s="16"/>
      <c r="M46" s="16"/>
      <c r="N46" s="16"/>
      <c r="O46" s="21" t="str">
        <f>_xlfn.DISPIMG("ID_1580BC6383D94C0081879D8D4CABC2F0",1)</f>
        <v>=DISPIMG("ID_1580BC6383D94C0081879D8D4CABC2F0",1)</v>
      </c>
      <c r="P46" s="22"/>
    </row>
    <row r="47" ht="30" customHeight="1" spans="1:16">
      <c r="A47" s="9">
        <v>44</v>
      </c>
      <c r="B47" s="10">
        <v>21012045</v>
      </c>
      <c r="C47" s="12" t="s">
        <v>155</v>
      </c>
      <c r="D47" s="9">
        <v>50</v>
      </c>
      <c r="E47" s="9">
        <v>0</v>
      </c>
      <c r="F47" s="9">
        <v>0</v>
      </c>
      <c r="G47" s="9">
        <v>50</v>
      </c>
      <c r="H47" s="9">
        <f t="shared" si="2"/>
        <v>5</v>
      </c>
      <c r="I47" s="15">
        <v>58</v>
      </c>
      <c r="J47" s="16"/>
      <c r="K47" s="16"/>
      <c r="L47" s="16"/>
      <c r="M47" s="16"/>
      <c r="N47" s="16"/>
      <c r="O47" s="21" t="str">
        <f>_xlfn.DISPIMG("ID_B3CF7EE694D94C5795B2197525027461",1)</f>
        <v>=DISPIMG("ID_B3CF7EE694D94C5795B2197525027461",1)</v>
      </c>
      <c r="P47" s="22"/>
    </row>
    <row r="48" ht="30" customHeight="1" spans="1:16">
      <c r="A48" s="9">
        <v>45</v>
      </c>
      <c r="B48" s="10">
        <v>21012052</v>
      </c>
      <c r="C48" s="12" t="s">
        <v>199</v>
      </c>
      <c r="D48" s="9">
        <v>50</v>
      </c>
      <c r="E48" s="9">
        <v>0</v>
      </c>
      <c r="F48" s="9">
        <v>0</v>
      </c>
      <c r="G48" s="9">
        <v>50</v>
      </c>
      <c r="H48" s="9">
        <f t="shared" si="2"/>
        <v>5</v>
      </c>
      <c r="I48" s="15">
        <v>58</v>
      </c>
      <c r="J48" s="16"/>
      <c r="K48" s="16"/>
      <c r="L48" s="16"/>
      <c r="M48" s="16"/>
      <c r="N48" s="16"/>
      <c r="O48" s="21" t="str">
        <f>_xlfn.DISPIMG("ID_9D35F126368540EF8B2DB3015D568D37",1)</f>
        <v>=DISPIMG("ID_9D35F126368540EF8B2DB3015D568D37",1)</v>
      </c>
      <c r="P48" s="22"/>
    </row>
    <row r="49" ht="30" customHeight="1" spans="1:16">
      <c r="A49" s="9">
        <v>46</v>
      </c>
      <c r="B49" s="10">
        <v>21012056</v>
      </c>
      <c r="C49" s="12" t="s">
        <v>201</v>
      </c>
      <c r="D49" s="9">
        <v>50</v>
      </c>
      <c r="E49" s="9">
        <v>0</v>
      </c>
      <c r="F49" s="9">
        <v>0</v>
      </c>
      <c r="G49" s="9">
        <v>50</v>
      </c>
      <c r="H49" s="9">
        <f t="shared" si="2"/>
        <v>5</v>
      </c>
      <c r="I49" s="15">
        <v>58</v>
      </c>
      <c r="J49" s="16"/>
      <c r="K49" s="16"/>
      <c r="L49" s="16"/>
      <c r="M49" s="16"/>
      <c r="N49" s="16"/>
      <c r="O49" s="21" t="str">
        <f>_xlfn.DISPIMG("ID_C860772B2C5A4F9291A3896ABFB35EDF",1)</f>
        <v>=DISPIMG("ID_C860772B2C5A4F9291A3896ABFB35EDF",1)</v>
      </c>
      <c r="P49" s="22"/>
    </row>
    <row r="50" ht="30" customHeight="1" spans="1:16">
      <c r="A50" s="9">
        <v>47</v>
      </c>
      <c r="B50" s="10">
        <v>21012063</v>
      </c>
      <c r="C50" s="12" t="s">
        <v>271</v>
      </c>
      <c r="D50" s="9">
        <v>50</v>
      </c>
      <c r="E50" s="9">
        <v>0</v>
      </c>
      <c r="F50" s="9">
        <v>0</v>
      </c>
      <c r="G50" s="9">
        <v>50</v>
      </c>
      <c r="H50" s="9">
        <f t="shared" si="2"/>
        <v>5</v>
      </c>
      <c r="I50" s="15">
        <v>58</v>
      </c>
      <c r="J50" s="16"/>
      <c r="K50" s="16"/>
      <c r="L50" s="16"/>
      <c r="M50" s="16"/>
      <c r="N50" s="16"/>
      <c r="O50" s="21" t="str">
        <f>_xlfn.DISPIMG("ID_1EB335992D8B4303B93B46744F3CB060",1)</f>
        <v>=DISPIMG("ID_1EB335992D8B4303B93B46744F3CB060",1)</v>
      </c>
      <c r="P50" s="22"/>
    </row>
    <row r="51" ht="30" customHeight="1" spans="1:16">
      <c r="A51" s="9">
        <v>48</v>
      </c>
      <c r="B51" s="10">
        <v>21012066</v>
      </c>
      <c r="C51" s="12" t="s">
        <v>207</v>
      </c>
      <c r="D51" s="9">
        <v>50</v>
      </c>
      <c r="E51" s="9">
        <v>0</v>
      </c>
      <c r="F51" s="9">
        <v>0</v>
      </c>
      <c r="G51" s="9">
        <v>50</v>
      </c>
      <c r="H51" s="9">
        <f t="shared" si="2"/>
        <v>5</v>
      </c>
      <c r="I51" s="15">
        <v>58</v>
      </c>
      <c r="J51" s="16"/>
      <c r="K51" s="16"/>
      <c r="L51" s="16"/>
      <c r="M51" s="16"/>
      <c r="N51" s="16"/>
      <c r="O51" s="21" t="str">
        <f>_xlfn.DISPIMG("ID_93606653A0AA46768807EE2291AFD8F3",1)</f>
        <v>=DISPIMG("ID_93606653A0AA46768807EE2291AFD8F3",1)</v>
      </c>
      <c r="P51" s="22"/>
    </row>
    <row r="52" ht="30" customHeight="1" spans="1:16">
      <c r="A52" s="9">
        <v>49</v>
      </c>
      <c r="B52" s="10">
        <v>21012076</v>
      </c>
      <c r="C52" s="12" t="s">
        <v>267</v>
      </c>
      <c r="D52" s="9">
        <v>50</v>
      </c>
      <c r="E52" s="9">
        <v>0</v>
      </c>
      <c r="F52" s="9">
        <v>0</v>
      </c>
      <c r="G52" s="9">
        <v>50</v>
      </c>
      <c r="H52" s="9">
        <f t="shared" si="2"/>
        <v>5</v>
      </c>
      <c r="I52" s="15">
        <v>58</v>
      </c>
      <c r="J52" s="16"/>
      <c r="K52" s="16"/>
      <c r="L52" s="16"/>
      <c r="M52" s="16"/>
      <c r="N52" s="16"/>
      <c r="O52" s="21" t="str">
        <f>_xlfn.DISPIMG("ID_B79446EAB54E4972BC45F86D067881D9",1)</f>
        <v>=DISPIMG("ID_B79446EAB54E4972BC45F86D067881D9",1)</v>
      </c>
      <c r="P52" s="22"/>
    </row>
    <row r="53" ht="30" customHeight="1" spans="1:16">
      <c r="A53" s="9">
        <v>50</v>
      </c>
      <c r="B53" s="10">
        <v>21012080</v>
      </c>
      <c r="C53" s="12" t="s">
        <v>143</v>
      </c>
      <c r="D53" s="9">
        <v>50</v>
      </c>
      <c r="E53" s="9">
        <v>0</v>
      </c>
      <c r="F53" s="9">
        <v>0</v>
      </c>
      <c r="G53" s="9">
        <v>50</v>
      </c>
      <c r="H53" s="9">
        <f t="shared" si="2"/>
        <v>5</v>
      </c>
      <c r="I53" s="15">
        <v>58</v>
      </c>
      <c r="J53" s="16"/>
      <c r="K53" s="16"/>
      <c r="L53" s="16"/>
      <c r="M53" s="16"/>
      <c r="N53" s="16"/>
      <c r="O53" s="21" t="str">
        <f>_xlfn.DISPIMG("ID_7A88F9127E994F36B9D9AA2E5515B09D",1)</f>
        <v>=DISPIMG("ID_7A88F9127E994F36B9D9AA2E5515B09D",1)</v>
      </c>
      <c r="P53" s="22"/>
    </row>
    <row r="54" ht="30" customHeight="1" spans="1:16">
      <c r="A54" s="9">
        <v>51</v>
      </c>
      <c r="B54" s="10">
        <v>21012087</v>
      </c>
      <c r="C54" s="12" t="s">
        <v>227</v>
      </c>
      <c r="D54" s="9">
        <v>50</v>
      </c>
      <c r="E54" s="9">
        <v>0</v>
      </c>
      <c r="F54" s="9">
        <v>0</v>
      </c>
      <c r="G54" s="9">
        <v>50</v>
      </c>
      <c r="H54" s="9">
        <f t="shared" si="2"/>
        <v>5</v>
      </c>
      <c r="I54" s="15">
        <v>58</v>
      </c>
      <c r="J54" s="16"/>
      <c r="K54" s="16"/>
      <c r="L54" s="16"/>
      <c r="M54" s="16"/>
      <c r="N54" s="16"/>
      <c r="O54" s="21" t="str">
        <f>_xlfn.DISPIMG("ID_290590C3B71744E29D9AD520DC49FFD2",1)</f>
        <v>=DISPIMG("ID_290590C3B71744E29D9AD520DC49FFD2",1)</v>
      </c>
      <c r="P54" s="22"/>
    </row>
    <row r="55" ht="30" customHeight="1" spans="1:16">
      <c r="A55" s="9">
        <v>52</v>
      </c>
      <c r="B55" s="10">
        <v>21012090</v>
      </c>
      <c r="C55" s="12" t="s">
        <v>240</v>
      </c>
      <c r="D55" s="9">
        <v>50</v>
      </c>
      <c r="E55" s="9">
        <v>0</v>
      </c>
      <c r="F55" s="9">
        <v>0</v>
      </c>
      <c r="G55" s="9">
        <v>50</v>
      </c>
      <c r="H55" s="9">
        <f t="shared" si="2"/>
        <v>5</v>
      </c>
      <c r="I55" s="15">
        <v>58</v>
      </c>
      <c r="J55" s="16"/>
      <c r="K55" s="16"/>
      <c r="L55" s="16"/>
      <c r="M55" s="16"/>
      <c r="N55" s="16"/>
      <c r="O55" s="21" t="str">
        <f>_xlfn.DISPIMG("ID_6A4155D005934C27862207BA783DD1F8",1)</f>
        <v>=DISPIMG("ID_6A4155D005934C27862207BA783DD1F8",1)</v>
      </c>
      <c r="P55" s="22"/>
    </row>
    <row r="56" ht="30" customHeight="1" spans="1:16">
      <c r="A56" s="9">
        <v>53</v>
      </c>
      <c r="B56" s="10">
        <v>21012091</v>
      </c>
      <c r="C56" s="12" t="s">
        <v>304</v>
      </c>
      <c r="D56" s="9">
        <v>50</v>
      </c>
      <c r="E56" s="9">
        <v>0</v>
      </c>
      <c r="F56" s="9">
        <v>0</v>
      </c>
      <c r="G56" s="9">
        <v>50</v>
      </c>
      <c r="H56" s="9">
        <f t="shared" si="2"/>
        <v>5</v>
      </c>
      <c r="I56" s="15">
        <v>58</v>
      </c>
      <c r="J56" s="16"/>
      <c r="K56" s="16"/>
      <c r="L56" s="16"/>
      <c r="M56" s="16"/>
      <c r="N56" s="16"/>
      <c r="O56" s="21" t="str">
        <f>_xlfn.DISPIMG("ID_DF018BD97BD1475887204332FB53106D",1)</f>
        <v>=DISPIMG("ID_DF018BD97BD1475887204332FB53106D",1)</v>
      </c>
      <c r="P56" s="22"/>
    </row>
    <row r="57" ht="30" customHeight="1" spans="1:16">
      <c r="A57" s="9">
        <v>54</v>
      </c>
      <c r="B57" s="10">
        <v>21012100</v>
      </c>
      <c r="C57" s="12" t="s">
        <v>229</v>
      </c>
      <c r="D57" s="9">
        <v>50</v>
      </c>
      <c r="E57" s="9">
        <v>0</v>
      </c>
      <c r="F57" s="9">
        <v>0</v>
      </c>
      <c r="G57" s="9">
        <v>50</v>
      </c>
      <c r="H57" s="9">
        <f t="shared" si="2"/>
        <v>5</v>
      </c>
      <c r="I57" s="15">
        <v>58</v>
      </c>
      <c r="J57" s="16"/>
      <c r="K57" s="16"/>
      <c r="L57" s="16"/>
      <c r="M57" s="16"/>
      <c r="N57" s="16"/>
      <c r="O57" s="21" t="str">
        <f>_xlfn.DISPIMG("ID_359250A318A549C3A1A77287121972DB",1)</f>
        <v>=DISPIMG("ID_359250A318A549C3A1A77287121972DB",1)</v>
      </c>
      <c r="P57" s="22"/>
    </row>
    <row r="58" ht="30" customHeight="1" spans="1:16">
      <c r="A58" s="9">
        <v>55</v>
      </c>
      <c r="B58" s="10">
        <v>21012103</v>
      </c>
      <c r="C58" s="12" t="s">
        <v>310</v>
      </c>
      <c r="D58" s="9">
        <v>50</v>
      </c>
      <c r="E58" s="9">
        <v>0</v>
      </c>
      <c r="F58" s="9">
        <v>0</v>
      </c>
      <c r="G58" s="9">
        <v>50</v>
      </c>
      <c r="H58" s="9">
        <f t="shared" si="2"/>
        <v>5</v>
      </c>
      <c r="I58" s="15">
        <v>58</v>
      </c>
      <c r="J58" s="16"/>
      <c r="K58" s="16"/>
      <c r="L58" s="16"/>
      <c r="M58" s="16"/>
      <c r="N58" s="16"/>
      <c r="O58" s="21" t="str">
        <f>_xlfn.DISPIMG("ID_AD5470C52AA14091948990355A69593B",1)</f>
        <v>=DISPIMG("ID_AD5470C52AA14091948990355A69593B",1)</v>
      </c>
      <c r="P58" s="22"/>
    </row>
    <row r="59" ht="30" customHeight="1" spans="1:16">
      <c r="A59" s="9">
        <v>56</v>
      </c>
      <c r="B59" s="10">
        <v>21012110</v>
      </c>
      <c r="C59" s="12" t="s">
        <v>279</v>
      </c>
      <c r="D59" s="9">
        <v>50</v>
      </c>
      <c r="E59" s="9">
        <v>0</v>
      </c>
      <c r="F59" s="9">
        <v>0</v>
      </c>
      <c r="G59" s="9">
        <v>50</v>
      </c>
      <c r="H59" s="9">
        <f t="shared" si="2"/>
        <v>5</v>
      </c>
      <c r="I59" s="15">
        <v>58</v>
      </c>
      <c r="J59" s="16"/>
      <c r="K59" s="16"/>
      <c r="L59" s="16"/>
      <c r="M59" s="16"/>
      <c r="N59" s="16"/>
      <c r="O59" s="21" t="str">
        <f>_xlfn.DISPIMG("ID_E99B2987E4144CD8B632ECF912544A08",1)</f>
        <v>=DISPIMG("ID_E99B2987E4144CD8B632ECF912544A08",1)</v>
      </c>
      <c r="P59" s="22"/>
    </row>
    <row r="60" ht="30" customHeight="1" spans="1:16">
      <c r="A60" s="9">
        <v>57</v>
      </c>
      <c r="B60" s="10">
        <v>21012111</v>
      </c>
      <c r="C60" s="12" t="s">
        <v>48</v>
      </c>
      <c r="D60" s="9">
        <v>50</v>
      </c>
      <c r="E60" s="9">
        <v>12</v>
      </c>
      <c r="F60" s="9">
        <v>0</v>
      </c>
      <c r="G60" s="9">
        <v>62</v>
      </c>
      <c r="H60" s="9">
        <f t="shared" si="2"/>
        <v>6.2</v>
      </c>
      <c r="I60" s="15">
        <v>18</v>
      </c>
      <c r="J60" s="18" t="s">
        <v>515</v>
      </c>
      <c r="K60" s="18"/>
      <c r="L60" s="18"/>
      <c r="M60" s="18"/>
      <c r="N60" s="18"/>
      <c r="O60" s="21" t="str">
        <f>_xlfn.DISPIMG("ID_6EAE095C84C444328C98807FBA53734F",1)</f>
        <v>=DISPIMG("ID_6EAE095C84C444328C98807FBA53734F",1)</v>
      </c>
      <c r="P60" s="22"/>
    </row>
    <row r="61" ht="30" customHeight="1" spans="1:16">
      <c r="A61" s="9">
        <v>58</v>
      </c>
      <c r="B61" s="10">
        <v>21012116</v>
      </c>
      <c r="C61" s="12" t="s">
        <v>320</v>
      </c>
      <c r="D61" s="9">
        <v>50</v>
      </c>
      <c r="E61" s="9">
        <v>0</v>
      </c>
      <c r="F61" s="9">
        <v>0</v>
      </c>
      <c r="G61" s="9">
        <v>50</v>
      </c>
      <c r="H61" s="9">
        <f t="shared" si="2"/>
        <v>5</v>
      </c>
      <c r="I61" s="15">
        <v>58</v>
      </c>
      <c r="J61" s="16"/>
      <c r="K61" s="16"/>
      <c r="L61" s="16"/>
      <c r="M61" s="16"/>
      <c r="N61" s="16"/>
      <c r="O61" s="21" t="str">
        <f>_xlfn.DISPIMG("ID_9790C799FAB54665B999302CE258017E",1)</f>
        <v>=DISPIMG("ID_9790C799FAB54665B999302CE258017E",1)</v>
      </c>
      <c r="P61" s="22"/>
    </row>
    <row r="62" ht="30" customHeight="1" spans="1:16">
      <c r="A62" s="9">
        <v>59</v>
      </c>
      <c r="B62" s="10">
        <v>21012126</v>
      </c>
      <c r="C62" s="12" t="s">
        <v>242</v>
      </c>
      <c r="D62" s="9">
        <v>50</v>
      </c>
      <c r="E62" s="9">
        <v>0</v>
      </c>
      <c r="F62" s="9">
        <v>0</v>
      </c>
      <c r="G62" s="9">
        <v>50</v>
      </c>
      <c r="H62" s="9">
        <f t="shared" si="2"/>
        <v>5</v>
      </c>
      <c r="I62" s="15">
        <v>58</v>
      </c>
      <c r="J62" s="16"/>
      <c r="K62" s="16"/>
      <c r="L62" s="16"/>
      <c r="M62" s="16"/>
      <c r="N62" s="16"/>
      <c r="O62" s="21" t="str">
        <f>_xlfn.DISPIMG("ID_B05D86026617406FA45D9E2B2F7EB484",1)</f>
        <v>=DISPIMG("ID_B05D86026617406FA45D9E2B2F7EB484",1)</v>
      </c>
      <c r="P62" s="22"/>
    </row>
    <row r="63" ht="30" customHeight="1" spans="1:16">
      <c r="A63" s="9">
        <v>60</v>
      </c>
      <c r="B63" s="10">
        <v>21012129</v>
      </c>
      <c r="C63" s="9" t="s">
        <v>94</v>
      </c>
      <c r="D63" s="9">
        <v>50</v>
      </c>
      <c r="E63" s="9">
        <v>0</v>
      </c>
      <c r="F63" s="9">
        <v>0</v>
      </c>
      <c r="G63" s="9">
        <v>50</v>
      </c>
      <c r="H63" s="9">
        <f t="shared" si="2"/>
        <v>5</v>
      </c>
      <c r="I63" s="15">
        <v>58</v>
      </c>
      <c r="J63" s="16"/>
      <c r="K63" s="16"/>
      <c r="L63" s="16"/>
      <c r="M63" s="16"/>
      <c r="N63" s="16"/>
      <c r="O63" s="21" t="str">
        <f>_xlfn.DISPIMG("ID_24E86B72711F443F8A702455CDBC2348",1)</f>
        <v>=DISPIMG("ID_24E86B72711F443F8A702455CDBC2348",1)</v>
      </c>
      <c r="P63" s="22"/>
    </row>
    <row r="64" ht="30" customHeight="1" spans="1:16">
      <c r="A64" s="9">
        <v>61</v>
      </c>
      <c r="B64" s="10">
        <v>21012132</v>
      </c>
      <c r="C64" s="12" t="s">
        <v>42</v>
      </c>
      <c r="D64" s="9">
        <v>50</v>
      </c>
      <c r="E64" s="9">
        <v>9</v>
      </c>
      <c r="F64" s="9">
        <v>0</v>
      </c>
      <c r="G64" s="9">
        <v>59</v>
      </c>
      <c r="H64" s="9">
        <f t="shared" si="2"/>
        <v>5.9</v>
      </c>
      <c r="I64" s="15">
        <v>27</v>
      </c>
      <c r="J64" s="18" t="s">
        <v>516</v>
      </c>
      <c r="K64" s="18"/>
      <c r="L64" s="18"/>
      <c r="M64" s="18"/>
      <c r="N64" s="18"/>
      <c r="O64" s="21" t="str">
        <f>_xlfn.DISPIMG("ID_E92652EE3D6E459DAA6A9B6B1CF7F60E",1)</f>
        <v>=DISPIMG("ID_E92652EE3D6E459DAA6A9B6B1CF7F60E",1)</v>
      </c>
      <c r="P64" s="22"/>
    </row>
    <row r="65" ht="30" customHeight="1" spans="1:16">
      <c r="A65" s="9">
        <v>62</v>
      </c>
      <c r="B65" s="10">
        <v>21012135</v>
      </c>
      <c r="C65" s="12" t="s">
        <v>317</v>
      </c>
      <c r="D65" s="9">
        <v>50</v>
      </c>
      <c r="E65" s="9">
        <v>0</v>
      </c>
      <c r="F65" s="9">
        <v>0</v>
      </c>
      <c r="G65" s="9">
        <v>50</v>
      </c>
      <c r="H65" s="9">
        <f t="shared" si="2"/>
        <v>5</v>
      </c>
      <c r="I65" s="15">
        <v>58</v>
      </c>
      <c r="J65" s="16"/>
      <c r="K65" s="16"/>
      <c r="L65" s="16"/>
      <c r="M65" s="16"/>
      <c r="N65" s="16"/>
      <c r="O65" s="21" t="str">
        <f>_xlfn.DISPIMG("ID_C3B09B3F0D2E4AD3AF93F3E438615792",1)</f>
        <v>=DISPIMG("ID_C3B09B3F0D2E4AD3AF93F3E438615792",1)</v>
      </c>
      <c r="P65" s="22"/>
    </row>
    <row r="66" ht="30" customHeight="1" spans="1:16">
      <c r="A66" s="9">
        <v>63</v>
      </c>
      <c r="B66" s="10">
        <v>21012141</v>
      </c>
      <c r="C66" s="12" t="s">
        <v>183</v>
      </c>
      <c r="D66" s="9">
        <v>50</v>
      </c>
      <c r="E66" s="9">
        <v>0</v>
      </c>
      <c r="F66" s="9">
        <v>0</v>
      </c>
      <c r="G66" s="9">
        <v>50</v>
      </c>
      <c r="H66" s="9">
        <f t="shared" si="2"/>
        <v>5</v>
      </c>
      <c r="I66" s="15">
        <v>58</v>
      </c>
      <c r="J66" s="16"/>
      <c r="K66" s="16"/>
      <c r="L66" s="16"/>
      <c r="M66" s="16"/>
      <c r="N66" s="16"/>
      <c r="O66" s="21" t="str">
        <f>_xlfn.DISPIMG("ID_6EECEF4EC27A47CCA48B0D0C079E5CB2",1)</f>
        <v>=DISPIMG("ID_6EECEF4EC27A47CCA48B0D0C079E5CB2",1)</v>
      </c>
      <c r="P66" s="22"/>
    </row>
    <row r="67" ht="30" customHeight="1" spans="1:16">
      <c r="A67" s="9">
        <v>64</v>
      </c>
      <c r="B67" s="10">
        <v>21012144</v>
      </c>
      <c r="C67" s="12" t="s">
        <v>23</v>
      </c>
      <c r="D67" s="9">
        <v>50</v>
      </c>
      <c r="E67" s="9">
        <v>50</v>
      </c>
      <c r="F67" s="9">
        <v>0</v>
      </c>
      <c r="G67" s="9">
        <v>100</v>
      </c>
      <c r="H67" s="9">
        <v>10</v>
      </c>
      <c r="I67" s="15">
        <v>1</v>
      </c>
      <c r="J67" s="18" t="s">
        <v>517</v>
      </c>
      <c r="K67" s="18"/>
      <c r="L67" s="18"/>
      <c r="M67" s="18"/>
      <c r="N67" s="18"/>
      <c r="O67" s="21" t="str">
        <f>_xlfn.DISPIMG("ID_D9AC2E4C2B594B7494E4CB3D68316F8A",1)</f>
        <v>=DISPIMG("ID_D9AC2E4C2B594B7494E4CB3D68316F8A",1)</v>
      </c>
      <c r="P67" s="22"/>
    </row>
    <row r="68" ht="30" customHeight="1" spans="1:16">
      <c r="A68" s="9">
        <v>65</v>
      </c>
      <c r="B68" s="10">
        <v>21012151</v>
      </c>
      <c r="C68" s="12" t="s">
        <v>290</v>
      </c>
      <c r="D68" s="9">
        <v>50</v>
      </c>
      <c r="E68" s="9">
        <v>0</v>
      </c>
      <c r="F68" s="9">
        <v>0</v>
      </c>
      <c r="G68" s="9">
        <v>50</v>
      </c>
      <c r="H68" s="9">
        <v>5</v>
      </c>
      <c r="I68" s="15">
        <v>58</v>
      </c>
      <c r="J68" s="16"/>
      <c r="K68" s="16"/>
      <c r="L68" s="16"/>
      <c r="M68" s="16"/>
      <c r="N68" s="16"/>
      <c r="O68" s="21" t="str">
        <f>_xlfn.DISPIMG("ID_B9F3E4E9C3E349AC8E956EA7E7A2C6D6",1)</f>
        <v>=DISPIMG("ID_B9F3E4E9C3E349AC8E956EA7E7A2C6D6",1)</v>
      </c>
      <c r="P68" s="22"/>
    </row>
    <row r="69" ht="30" customHeight="1" spans="1:16">
      <c r="A69" s="9">
        <v>66</v>
      </c>
      <c r="B69" s="10">
        <v>21012153</v>
      </c>
      <c r="C69" s="12" t="s">
        <v>153</v>
      </c>
      <c r="D69" s="9">
        <v>50</v>
      </c>
      <c r="E69" s="9">
        <v>0</v>
      </c>
      <c r="F69" s="9">
        <v>0</v>
      </c>
      <c r="G69" s="9">
        <v>50</v>
      </c>
      <c r="H69" s="9">
        <v>5</v>
      </c>
      <c r="I69" s="15">
        <v>58</v>
      </c>
      <c r="J69" s="16"/>
      <c r="K69" s="16"/>
      <c r="L69" s="16"/>
      <c r="M69" s="16"/>
      <c r="N69" s="16"/>
      <c r="O69" s="21" t="str">
        <f>_xlfn.DISPIMG("ID_9258CFD5E60C41C6814F7EEF30083FD1",1)</f>
        <v>=DISPIMG("ID_9258CFD5E60C41C6814F7EEF30083FD1",1)</v>
      </c>
      <c r="P69" s="22"/>
    </row>
    <row r="70" ht="30" customHeight="1" spans="1:16">
      <c r="A70" s="9">
        <v>67</v>
      </c>
      <c r="B70" s="12" t="s">
        <v>118</v>
      </c>
      <c r="C70" s="12" t="s">
        <v>119</v>
      </c>
      <c r="D70" s="12">
        <v>50</v>
      </c>
      <c r="E70" s="12">
        <v>0</v>
      </c>
      <c r="F70" s="12">
        <v>0</v>
      </c>
      <c r="G70" s="12">
        <v>50</v>
      </c>
      <c r="H70" s="9">
        <f t="shared" ref="H69:H100" si="3">G70*0.1</f>
        <v>5</v>
      </c>
      <c r="I70" s="15">
        <v>58</v>
      </c>
      <c r="J70" s="24"/>
      <c r="K70" s="24"/>
      <c r="L70" s="24"/>
      <c r="M70" s="24"/>
      <c r="N70" s="24"/>
      <c r="O70" s="17" t="str">
        <f>_xlfn.DISPIMG("ID_B40A970E303E4F5DB3C195D5613C5DEE",1)</f>
        <v>=DISPIMG("ID_B40A970E303E4F5DB3C195D5613C5DEE",1)</v>
      </c>
      <c r="P70" s="22"/>
    </row>
    <row r="71" ht="30" customHeight="1" spans="1:16">
      <c r="A71" s="9">
        <v>68</v>
      </c>
      <c r="B71" s="12">
        <v>21012009</v>
      </c>
      <c r="C71" s="12" t="s">
        <v>308</v>
      </c>
      <c r="D71" s="12">
        <v>50</v>
      </c>
      <c r="E71" s="12">
        <v>0</v>
      </c>
      <c r="F71" s="12">
        <v>0</v>
      </c>
      <c r="G71" s="12">
        <v>50</v>
      </c>
      <c r="H71" s="9">
        <f t="shared" si="3"/>
        <v>5</v>
      </c>
      <c r="I71" s="15">
        <v>58</v>
      </c>
      <c r="J71" s="24"/>
      <c r="K71" s="24"/>
      <c r="L71" s="24"/>
      <c r="M71" s="24"/>
      <c r="N71" s="24"/>
      <c r="O71" s="17" t="str">
        <f>_xlfn.DISPIMG("ID_8E75258423904F978B8D295FA9150929",1)</f>
        <v>=DISPIMG("ID_8E75258423904F978B8D295FA9150929",1)</v>
      </c>
      <c r="P71" s="22"/>
    </row>
    <row r="72" ht="30" customHeight="1" spans="1:16">
      <c r="A72" s="9">
        <v>69</v>
      </c>
      <c r="B72" s="12">
        <v>21012014</v>
      </c>
      <c r="C72" s="12" t="s">
        <v>221</v>
      </c>
      <c r="D72" s="12">
        <v>50</v>
      </c>
      <c r="E72" s="12">
        <v>0</v>
      </c>
      <c r="F72" s="12">
        <v>0</v>
      </c>
      <c r="G72" s="12">
        <v>50</v>
      </c>
      <c r="H72" s="9">
        <f t="shared" si="3"/>
        <v>5</v>
      </c>
      <c r="I72" s="15">
        <v>58</v>
      </c>
      <c r="J72" s="24"/>
      <c r="K72" s="24"/>
      <c r="L72" s="24"/>
      <c r="M72" s="24"/>
      <c r="N72" s="24"/>
      <c r="O72" s="3" t="str">
        <f>_xlfn.DISPIMG("ID_4E291C5D7F5C45DAA4787E5B005AB433",1)</f>
        <v>=DISPIMG("ID_4E291C5D7F5C45DAA4787E5B005AB433",1)</v>
      </c>
      <c r="P72" s="22"/>
    </row>
    <row r="73" ht="30" customHeight="1" spans="1:16">
      <c r="A73" s="9">
        <v>70</v>
      </c>
      <c r="B73" s="12">
        <v>21012019</v>
      </c>
      <c r="C73" s="12" t="s">
        <v>248</v>
      </c>
      <c r="D73" s="12">
        <v>50</v>
      </c>
      <c r="E73" s="12">
        <v>0</v>
      </c>
      <c r="F73" s="12">
        <v>0</v>
      </c>
      <c r="G73" s="12">
        <v>50</v>
      </c>
      <c r="H73" s="9">
        <f t="shared" si="3"/>
        <v>5</v>
      </c>
      <c r="I73" s="15">
        <v>58</v>
      </c>
      <c r="J73" s="24"/>
      <c r="K73" s="24"/>
      <c r="L73" s="24"/>
      <c r="M73" s="24"/>
      <c r="N73" s="24"/>
      <c r="O73" s="3" t="str">
        <f>_xlfn.DISPIMG("ID_C7CA0887D99445F89CFA1E45ABCBE067",1)</f>
        <v>=DISPIMG("ID_C7CA0887D99445F89CFA1E45ABCBE067",1)</v>
      </c>
      <c r="P73" s="22"/>
    </row>
    <row r="74" ht="30" customHeight="1" spans="1:16">
      <c r="A74" s="9">
        <v>71</v>
      </c>
      <c r="B74" s="12">
        <v>21012025</v>
      </c>
      <c r="C74" s="12" t="s">
        <v>149</v>
      </c>
      <c r="D74" s="12">
        <v>50</v>
      </c>
      <c r="E74" s="12">
        <v>0</v>
      </c>
      <c r="F74" s="12">
        <v>0</v>
      </c>
      <c r="G74" s="12">
        <v>50</v>
      </c>
      <c r="H74" s="9">
        <f t="shared" si="3"/>
        <v>5</v>
      </c>
      <c r="I74" s="15">
        <v>58</v>
      </c>
      <c r="J74" s="24"/>
      <c r="K74" s="24"/>
      <c r="L74" s="24"/>
      <c r="M74" s="24"/>
      <c r="N74" s="24"/>
      <c r="O74" s="17" t="str">
        <f>_xlfn.DISPIMG("ID_67DAF9CEFCEE48D18ADC85D4DDC29FAF",1)</f>
        <v>=DISPIMG("ID_67DAF9CEFCEE48D18ADC85D4DDC29FAF",1)</v>
      </c>
      <c r="P74" s="22"/>
    </row>
    <row r="75" ht="30" customHeight="1" spans="1:16">
      <c r="A75" s="9">
        <v>72</v>
      </c>
      <c r="B75" s="12">
        <v>21012030</v>
      </c>
      <c r="C75" s="12" t="s">
        <v>257</v>
      </c>
      <c r="D75" s="12">
        <v>50</v>
      </c>
      <c r="E75" s="12">
        <v>0</v>
      </c>
      <c r="F75" s="12">
        <v>0</v>
      </c>
      <c r="G75" s="12">
        <v>50</v>
      </c>
      <c r="H75" s="9">
        <f t="shared" si="3"/>
        <v>5</v>
      </c>
      <c r="I75" s="15">
        <v>58</v>
      </c>
      <c r="J75" s="25"/>
      <c r="K75" s="25"/>
      <c r="L75" s="25"/>
      <c r="M75" s="25"/>
      <c r="N75" s="25"/>
      <c r="O75" s="3" t="str">
        <f>_xlfn.DISPIMG("ID_DA3D51D1E4D74650988C807CDC410648",1)</f>
        <v>=DISPIMG("ID_DA3D51D1E4D74650988C807CDC410648",1)</v>
      </c>
      <c r="P75" s="22"/>
    </row>
    <row r="76" ht="30" customHeight="1" spans="1:16">
      <c r="A76" s="9">
        <v>73</v>
      </c>
      <c r="B76" s="12">
        <v>21012034</v>
      </c>
      <c r="C76" s="12" t="s">
        <v>244</v>
      </c>
      <c r="D76" s="12">
        <v>50</v>
      </c>
      <c r="E76" s="12">
        <v>4</v>
      </c>
      <c r="F76" s="12">
        <v>0</v>
      </c>
      <c r="G76" s="12">
        <v>54</v>
      </c>
      <c r="H76" s="9">
        <f t="shared" si="3"/>
        <v>5.4</v>
      </c>
      <c r="I76" s="15">
        <v>45</v>
      </c>
      <c r="J76" s="25" t="s">
        <v>518</v>
      </c>
      <c r="K76" s="25"/>
      <c r="L76" s="25"/>
      <c r="M76" s="25"/>
      <c r="N76" s="25"/>
      <c r="O76" s="17" t="str">
        <f>_xlfn.DISPIMG("ID_CCAABE6708F44A89B2F0A7566A3D1F37",1)</f>
        <v>=DISPIMG("ID_CCAABE6708F44A89B2F0A7566A3D1F37",1)</v>
      </c>
      <c r="P76" s="22"/>
    </row>
    <row r="77" ht="30" customHeight="1" spans="1:16">
      <c r="A77" s="9">
        <v>74</v>
      </c>
      <c r="B77" s="12">
        <v>21012036</v>
      </c>
      <c r="C77" s="12" t="s">
        <v>76</v>
      </c>
      <c r="D77" s="12">
        <v>50</v>
      </c>
      <c r="E77" s="12">
        <v>0</v>
      </c>
      <c r="F77" s="12">
        <v>0</v>
      </c>
      <c r="G77" s="12">
        <v>50</v>
      </c>
      <c r="H77" s="9">
        <f t="shared" si="3"/>
        <v>5</v>
      </c>
      <c r="I77" s="15">
        <v>58</v>
      </c>
      <c r="J77" s="25"/>
      <c r="K77" s="25"/>
      <c r="L77" s="25"/>
      <c r="M77" s="25"/>
      <c r="N77" s="25"/>
      <c r="O77" s="3" t="str">
        <f>_xlfn.DISPIMG("ID_E3C72633E5B941D5977DB1E2202B8B33",1)</f>
        <v>=DISPIMG("ID_E3C72633E5B941D5977DB1E2202B8B33",1)</v>
      </c>
      <c r="P77" s="22"/>
    </row>
    <row r="78" ht="30" customHeight="1" spans="1:16">
      <c r="A78" s="9">
        <v>75</v>
      </c>
      <c r="B78" s="12">
        <v>21012041</v>
      </c>
      <c r="C78" s="12" t="s">
        <v>181</v>
      </c>
      <c r="D78" s="12">
        <v>50</v>
      </c>
      <c r="E78" s="12">
        <v>0</v>
      </c>
      <c r="F78" s="12">
        <v>0</v>
      </c>
      <c r="G78" s="12">
        <v>50</v>
      </c>
      <c r="H78" s="9">
        <f t="shared" si="3"/>
        <v>5</v>
      </c>
      <c r="I78" s="15">
        <v>58</v>
      </c>
      <c r="J78" s="25"/>
      <c r="K78" s="25"/>
      <c r="L78" s="25"/>
      <c r="M78" s="25"/>
      <c r="N78" s="25"/>
      <c r="O78" s="17" t="str">
        <f>_xlfn.DISPIMG("ID_E0FCED2F2DEB41C6B605E08E2C89045C",1)</f>
        <v>=DISPIMG("ID_E0FCED2F2DEB41C6B605E08E2C89045C",1)</v>
      </c>
      <c r="P78" s="22"/>
    </row>
    <row r="79" ht="30" customHeight="1" spans="1:16">
      <c r="A79" s="9">
        <v>76</v>
      </c>
      <c r="B79" s="12">
        <v>21012046</v>
      </c>
      <c r="C79" s="12" t="s">
        <v>172</v>
      </c>
      <c r="D79" s="12">
        <v>50</v>
      </c>
      <c r="E79" s="12">
        <v>8</v>
      </c>
      <c r="F79" s="12">
        <v>0</v>
      </c>
      <c r="G79" s="12">
        <v>58</v>
      </c>
      <c r="H79" s="9">
        <f t="shared" si="3"/>
        <v>5.8</v>
      </c>
      <c r="I79" s="15">
        <v>32</v>
      </c>
      <c r="J79" s="25" t="s">
        <v>519</v>
      </c>
      <c r="K79" s="25"/>
      <c r="L79" s="25"/>
      <c r="M79" s="25"/>
      <c r="N79" s="25"/>
      <c r="O79" s="17" t="str">
        <f>_xlfn.DISPIMG("ID_F73AAE817ADF4F6B8DCE25BF811B6C93",1)</f>
        <v>=DISPIMG("ID_F73AAE817ADF4F6B8DCE25BF811B6C93",1)</v>
      </c>
      <c r="P79" s="22"/>
    </row>
    <row r="80" ht="30" customHeight="1" spans="1:16">
      <c r="A80" s="9">
        <v>77</v>
      </c>
      <c r="B80" s="12">
        <v>21012051</v>
      </c>
      <c r="C80" s="12" t="s">
        <v>286</v>
      </c>
      <c r="D80" s="12">
        <v>50</v>
      </c>
      <c r="E80" s="12">
        <v>0</v>
      </c>
      <c r="F80" s="12">
        <v>0</v>
      </c>
      <c r="G80" s="12">
        <v>50</v>
      </c>
      <c r="H80" s="9">
        <f t="shared" si="3"/>
        <v>5</v>
      </c>
      <c r="I80" s="15">
        <v>58</v>
      </c>
      <c r="J80" s="25"/>
      <c r="K80" s="25"/>
      <c r="L80" s="25"/>
      <c r="M80" s="25"/>
      <c r="N80" s="25"/>
      <c r="O80" s="17" t="str">
        <f>_xlfn.DISPIMG("ID_E7220DA372464661B5784B088A17B5C1",1)</f>
        <v>=DISPIMG("ID_E7220DA372464661B5784B088A17B5C1",1)</v>
      </c>
      <c r="P80" s="22"/>
    </row>
    <row r="81" ht="30" customHeight="1" spans="1:16">
      <c r="A81" s="9">
        <v>78</v>
      </c>
      <c r="B81" s="12">
        <v>21012057</v>
      </c>
      <c r="C81" s="12" t="s">
        <v>254</v>
      </c>
      <c r="D81" s="12">
        <v>50</v>
      </c>
      <c r="E81" s="12">
        <v>0</v>
      </c>
      <c r="F81" s="12">
        <v>0</v>
      </c>
      <c r="G81" s="12">
        <v>50</v>
      </c>
      <c r="H81" s="9">
        <f t="shared" si="3"/>
        <v>5</v>
      </c>
      <c r="I81" s="15">
        <v>58</v>
      </c>
      <c r="J81" s="25"/>
      <c r="K81" s="25"/>
      <c r="L81" s="25"/>
      <c r="M81" s="25"/>
      <c r="N81" s="25"/>
      <c r="O81" s="3" t="str">
        <f>_xlfn.DISPIMG("ID_FA7DCD9E0FCF4766BC752710075E8685",1)</f>
        <v>=DISPIMG("ID_FA7DCD9E0FCF4766BC752710075E8685",1)</v>
      </c>
      <c r="P81" s="22"/>
    </row>
    <row r="82" ht="30" customHeight="1" spans="1:16">
      <c r="A82" s="9">
        <v>79</v>
      </c>
      <c r="B82" s="12">
        <v>21012067</v>
      </c>
      <c r="C82" s="12" t="s">
        <v>261</v>
      </c>
      <c r="D82" s="12">
        <v>50</v>
      </c>
      <c r="E82" s="12">
        <v>0</v>
      </c>
      <c r="F82" s="12">
        <v>0</v>
      </c>
      <c r="G82" s="12">
        <v>50</v>
      </c>
      <c r="H82" s="9">
        <f t="shared" si="3"/>
        <v>5</v>
      </c>
      <c r="I82" s="15">
        <v>58</v>
      </c>
      <c r="J82" s="25"/>
      <c r="K82" s="25"/>
      <c r="L82" s="25"/>
      <c r="M82" s="25"/>
      <c r="N82" s="25"/>
      <c r="O82" s="17" t="str">
        <f>_xlfn.DISPIMG("ID_57F86513A98E4AB7B581DB6654B03156",1)</f>
        <v>=DISPIMG("ID_57F86513A98E4AB7B581DB6654B03156",1)</v>
      </c>
      <c r="P82" s="22"/>
    </row>
    <row r="83" ht="30" customHeight="1" spans="1:16">
      <c r="A83" s="9">
        <v>80</v>
      </c>
      <c r="B83" s="12">
        <v>21012075</v>
      </c>
      <c r="C83" s="12" t="s">
        <v>163</v>
      </c>
      <c r="D83" s="12">
        <v>50</v>
      </c>
      <c r="E83" s="12">
        <v>0</v>
      </c>
      <c r="F83" s="12">
        <v>0</v>
      </c>
      <c r="G83" s="12">
        <v>50</v>
      </c>
      <c r="H83" s="9">
        <f t="shared" si="3"/>
        <v>5</v>
      </c>
      <c r="I83" s="15">
        <v>58</v>
      </c>
      <c r="J83" s="25"/>
      <c r="K83" s="25"/>
      <c r="L83" s="25"/>
      <c r="M83" s="25"/>
      <c r="N83" s="25"/>
      <c r="O83" s="17" t="str">
        <f>_xlfn.DISPIMG("ID_E55ED0FBFF8C4C36AD5E8040B517A55F",1)</f>
        <v>=DISPIMG("ID_E55ED0FBFF8C4C36AD5E8040B517A55F",1)</v>
      </c>
      <c r="P83" s="22"/>
    </row>
    <row r="84" ht="30" customHeight="1" spans="1:16">
      <c r="A84" s="9">
        <v>81</v>
      </c>
      <c r="B84" s="12">
        <v>21012077</v>
      </c>
      <c r="C84" s="12" t="s">
        <v>314</v>
      </c>
      <c r="D84" s="12">
        <v>50</v>
      </c>
      <c r="E84" s="12">
        <v>10</v>
      </c>
      <c r="F84" s="12">
        <v>0</v>
      </c>
      <c r="G84" s="12">
        <v>60</v>
      </c>
      <c r="H84" s="9">
        <f t="shared" si="3"/>
        <v>6</v>
      </c>
      <c r="I84" s="15">
        <v>21</v>
      </c>
      <c r="J84" s="25" t="s">
        <v>520</v>
      </c>
      <c r="K84" s="25"/>
      <c r="L84" s="25"/>
      <c r="M84" s="25"/>
      <c r="N84" s="25"/>
      <c r="O84" s="17" t="str">
        <f>_xlfn.DISPIMG("ID_FFC24DFD76BD47D1A1D7BC42BA0132F7",1)</f>
        <v>=DISPIMG("ID_FFC24DFD76BD47D1A1D7BC42BA0132F7",1)</v>
      </c>
      <c r="P84" s="22"/>
    </row>
    <row r="85" ht="30" customHeight="1" spans="1:16">
      <c r="A85" s="9">
        <v>82</v>
      </c>
      <c r="B85" s="12">
        <v>21012081</v>
      </c>
      <c r="C85" s="12" t="s">
        <v>312</v>
      </c>
      <c r="D85" s="12">
        <v>50</v>
      </c>
      <c r="E85" s="12">
        <v>0</v>
      </c>
      <c r="F85" s="12">
        <v>0</v>
      </c>
      <c r="G85" s="12">
        <v>50</v>
      </c>
      <c r="H85" s="9">
        <f t="shared" si="3"/>
        <v>5</v>
      </c>
      <c r="I85" s="15">
        <v>58</v>
      </c>
      <c r="J85" s="25"/>
      <c r="K85" s="25"/>
      <c r="L85" s="25"/>
      <c r="M85" s="25"/>
      <c r="N85" s="25"/>
      <c r="O85" s="3" t="str">
        <f>_xlfn.DISPIMG("ID_587A746376F5497886009B276B01E484",1)</f>
        <v>=DISPIMG("ID_587A746376F5497886009B276B01E484",1)</v>
      </c>
      <c r="P85" s="22"/>
    </row>
    <row r="86" ht="30" customHeight="1" spans="1:16">
      <c r="A86" s="9">
        <v>83</v>
      </c>
      <c r="B86" s="12">
        <v>21012086</v>
      </c>
      <c r="C86" s="12" t="s">
        <v>107</v>
      </c>
      <c r="D86" s="12">
        <v>50</v>
      </c>
      <c r="E86" s="12">
        <v>0</v>
      </c>
      <c r="F86" s="12">
        <v>0</v>
      </c>
      <c r="G86" s="12">
        <v>50</v>
      </c>
      <c r="H86" s="9">
        <f t="shared" si="3"/>
        <v>5</v>
      </c>
      <c r="I86" s="15">
        <v>58</v>
      </c>
      <c r="J86" s="25"/>
      <c r="K86" s="25"/>
      <c r="L86" s="25"/>
      <c r="M86" s="25"/>
      <c r="N86" s="25"/>
      <c r="O86" s="26" t="str">
        <f>_xlfn.DISPIMG("ID_DCB4D494674949C4A100A29A4E36CD24",1)</f>
        <v>=DISPIMG("ID_DCB4D494674949C4A100A29A4E36CD24",1)</v>
      </c>
      <c r="P86" s="22"/>
    </row>
    <row r="87" ht="30" customHeight="1" spans="1:16">
      <c r="A87" s="9">
        <v>84</v>
      </c>
      <c r="B87" s="12">
        <v>21012092</v>
      </c>
      <c r="C87" s="12" t="s">
        <v>123</v>
      </c>
      <c r="D87" s="12">
        <v>50</v>
      </c>
      <c r="E87" s="12">
        <v>5</v>
      </c>
      <c r="F87" s="12">
        <v>0</v>
      </c>
      <c r="G87" s="12">
        <v>55</v>
      </c>
      <c r="H87" s="9">
        <f t="shared" si="3"/>
        <v>5.5</v>
      </c>
      <c r="I87" s="15">
        <v>40</v>
      </c>
      <c r="J87" s="25" t="s">
        <v>521</v>
      </c>
      <c r="K87" s="25"/>
      <c r="L87" s="25"/>
      <c r="M87" s="25"/>
      <c r="N87" s="25"/>
      <c r="O87" s="3" t="str">
        <f>_xlfn.DISPIMG("ID_639461AE4D984CEBA92CD54B362CDAE5",1)</f>
        <v>=DISPIMG("ID_639461AE4D984CEBA92CD54B362CDAE5",1)</v>
      </c>
      <c r="P87" s="22"/>
    </row>
    <row r="88" ht="30" customHeight="1" spans="1:16">
      <c r="A88" s="9">
        <v>85</v>
      </c>
      <c r="B88" s="12">
        <v>21012099</v>
      </c>
      <c r="C88" s="12" t="s">
        <v>205</v>
      </c>
      <c r="D88" s="12">
        <v>50</v>
      </c>
      <c r="E88" s="12">
        <v>1</v>
      </c>
      <c r="F88" s="12">
        <v>0</v>
      </c>
      <c r="G88" s="12">
        <v>51</v>
      </c>
      <c r="H88" s="9">
        <f t="shared" si="3"/>
        <v>5.1</v>
      </c>
      <c r="I88" s="15">
        <v>52</v>
      </c>
      <c r="J88" s="25" t="s">
        <v>522</v>
      </c>
      <c r="K88" s="25"/>
      <c r="L88" s="25"/>
      <c r="M88" s="25"/>
      <c r="N88" s="25"/>
      <c r="O88" s="3" t="str">
        <f>_xlfn.DISPIMG("ID_30738FA729EB46418B327987370EB489",1)</f>
        <v>=DISPIMG("ID_30738FA729EB46418B327987370EB489",1)</v>
      </c>
      <c r="P88" s="22"/>
    </row>
    <row r="89" ht="30" customHeight="1" spans="1:16">
      <c r="A89" s="9">
        <v>86</v>
      </c>
      <c r="B89" s="12">
        <v>21012104</v>
      </c>
      <c r="C89" s="12" t="s">
        <v>213</v>
      </c>
      <c r="D89" s="12">
        <v>50</v>
      </c>
      <c r="E89" s="12">
        <v>5</v>
      </c>
      <c r="F89" s="12">
        <v>0</v>
      </c>
      <c r="G89" s="12">
        <v>55</v>
      </c>
      <c r="H89" s="9">
        <f t="shared" si="3"/>
        <v>5.5</v>
      </c>
      <c r="I89" s="15">
        <v>40</v>
      </c>
      <c r="J89" s="25" t="s">
        <v>523</v>
      </c>
      <c r="K89" s="25"/>
      <c r="L89" s="25"/>
      <c r="M89" s="25"/>
      <c r="N89" s="25"/>
      <c r="O89" s="17" t="str">
        <f>_xlfn.DISPIMG("ID_B25B0CA5DF054676ABFE5319271FC946",1)</f>
        <v>=DISPIMG("ID_B25B0CA5DF054676ABFE5319271FC946",1)</v>
      </c>
      <c r="P89" s="22"/>
    </row>
    <row r="90" ht="30" customHeight="1" spans="1:16">
      <c r="A90" s="9">
        <v>87</v>
      </c>
      <c r="B90" s="12">
        <v>21012109</v>
      </c>
      <c r="C90" s="12" t="s">
        <v>50</v>
      </c>
      <c r="D90" s="12">
        <v>50</v>
      </c>
      <c r="E90" s="12">
        <v>24</v>
      </c>
      <c r="F90" s="12">
        <v>0</v>
      </c>
      <c r="G90" s="12">
        <v>74</v>
      </c>
      <c r="H90" s="9">
        <f t="shared" si="3"/>
        <v>7.4</v>
      </c>
      <c r="I90" s="15">
        <v>11</v>
      </c>
      <c r="J90" s="18" t="s">
        <v>524</v>
      </c>
      <c r="K90" s="25"/>
      <c r="L90" s="25"/>
      <c r="M90" s="25"/>
      <c r="N90" s="25"/>
      <c r="O90" s="3" t="str">
        <f>_xlfn.DISPIMG("ID_E25EC9CECEC042F89E171D8582269DEF",1)</f>
        <v>=DISPIMG("ID_E25EC9CECEC042F89E171D8582269DEF",1)</v>
      </c>
      <c r="P90" s="22"/>
    </row>
    <row r="91" ht="30" customHeight="1" spans="1:16">
      <c r="A91" s="9">
        <v>88</v>
      </c>
      <c r="B91" s="12">
        <v>21012112</v>
      </c>
      <c r="C91" s="12" t="s">
        <v>137</v>
      </c>
      <c r="D91" s="12">
        <v>50</v>
      </c>
      <c r="E91" s="12">
        <v>10</v>
      </c>
      <c r="F91" s="12">
        <v>0</v>
      </c>
      <c r="G91" s="12">
        <v>60</v>
      </c>
      <c r="H91" s="9">
        <f t="shared" si="3"/>
        <v>6</v>
      </c>
      <c r="I91" s="15">
        <v>21</v>
      </c>
      <c r="J91" s="25" t="s">
        <v>520</v>
      </c>
      <c r="K91" s="25"/>
      <c r="L91" s="25"/>
      <c r="M91" s="25"/>
      <c r="N91" s="25"/>
      <c r="O91" s="17" t="str">
        <f>_xlfn.DISPIMG("ID_21B1138ED52847FA97BE25B9BACEAF48",1)</f>
        <v>=DISPIMG("ID_21B1138ED52847FA97BE25B9BACEAF48",1)</v>
      </c>
      <c r="P91" s="22"/>
    </row>
    <row r="92" ht="30" customHeight="1" spans="1:16">
      <c r="A92" s="9">
        <v>89</v>
      </c>
      <c r="B92" s="12">
        <v>21012118</v>
      </c>
      <c r="C92" s="12" t="s">
        <v>109</v>
      </c>
      <c r="D92" s="12">
        <v>50</v>
      </c>
      <c r="E92" s="12">
        <v>4</v>
      </c>
      <c r="F92" s="12">
        <v>0</v>
      </c>
      <c r="G92" s="12">
        <v>54</v>
      </c>
      <c r="H92" s="9">
        <f t="shared" si="3"/>
        <v>5.4</v>
      </c>
      <c r="I92" s="15">
        <v>45</v>
      </c>
      <c r="J92" s="25" t="s">
        <v>525</v>
      </c>
      <c r="K92" s="25"/>
      <c r="L92" s="25"/>
      <c r="M92" s="25"/>
      <c r="N92" s="25"/>
      <c r="O92" s="3" t="str">
        <f>_xlfn.DISPIMG("ID_03A8F5EE49B046BC8363E327758CB657",1)</f>
        <v>=DISPIMG("ID_03A8F5EE49B046BC8363E327758CB657",1)</v>
      </c>
      <c r="P92" s="22"/>
    </row>
    <row r="93" ht="30" customHeight="1" spans="1:16">
      <c r="A93" s="9">
        <v>90</v>
      </c>
      <c r="B93" s="12">
        <v>21012123</v>
      </c>
      <c r="C93" s="12" t="s">
        <v>263</v>
      </c>
      <c r="D93" s="12">
        <v>50</v>
      </c>
      <c r="E93" s="12">
        <v>10</v>
      </c>
      <c r="F93" s="12">
        <v>0</v>
      </c>
      <c r="G93" s="12">
        <v>60</v>
      </c>
      <c r="H93" s="9">
        <f t="shared" si="3"/>
        <v>6</v>
      </c>
      <c r="I93" s="15">
        <v>21</v>
      </c>
      <c r="J93" s="25" t="s">
        <v>520</v>
      </c>
      <c r="K93" s="25"/>
      <c r="L93" s="25"/>
      <c r="M93" s="25"/>
      <c r="N93" s="25"/>
      <c r="O93" s="17" t="str">
        <f>_xlfn.DISPIMG("ID_A321F4FDB3B842EF97BD9F23CFCD76DD",1)</f>
        <v>=DISPIMG("ID_A321F4FDB3B842EF97BD9F23CFCD76DD",1)</v>
      </c>
      <c r="P93" s="22"/>
    </row>
    <row r="94" ht="30" customHeight="1" spans="1:16">
      <c r="A94" s="9">
        <v>91</v>
      </c>
      <c r="B94" s="12">
        <v>21012134</v>
      </c>
      <c r="C94" s="12" t="s">
        <v>211</v>
      </c>
      <c r="D94" s="12">
        <v>50</v>
      </c>
      <c r="E94" s="12">
        <v>0</v>
      </c>
      <c r="F94" s="12">
        <v>0</v>
      </c>
      <c r="G94" s="12">
        <v>50</v>
      </c>
      <c r="H94" s="9">
        <f t="shared" si="3"/>
        <v>5</v>
      </c>
      <c r="I94" s="15">
        <v>58</v>
      </c>
      <c r="J94" s="25"/>
      <c r="K94" s="25"/>
      <c r="L94" s="25"/>
      <c r="M94" s="25"/>
      <c r="N94" s="25"/>
      <c r="O94" s="17" t="str">
        <f>_xlfn.DISPIMG("ID_480A6F979C4E402E984ED5572520B8D5",1)</f>
        <v>=DISPIMG("ID_480A6F979C4E402E984ED5572520B8D5",1)</v>
      </c>
      <c r="P94" s="22"/>
    </row>
    <row r="95" ht="30" customHeight="1" spans="1:16">
      <c r="A95" s="9">
        <v>92</v>
      </c>
      <c r="B95" s="12">
        <v>21012145</v>
      </c>
      <c r="C95" s="12" t="s">
        <v>230</v>
      </c>
      <c r="D95" s="12">
        <v>50</v>
      </c>
      <c r="E95" s="12">
        <v>8</v>
      </c>
      <c r="F95" s="12">
        <v>0</v>
      </c>
      <c r="G95" s="12">
        <v>58</v>
      </c>
      <c r="H95" s="9">
        <f t="shared" si="3"/>
        <v>5.8</v>
      </c>
      <c r="I95" s="15">
        <v>32</v>
      </c>
      <c r="J95" s="25" t="s">
        <v>526</v>
      </c>
      <c r="K95" s="24"/>
      <c r="L95" s="24"/>
      <c r="M95" s="24"/>
      <c r="N95" s="24"/>
      <c r="O95" s="17" t="str">
        <f>_xlfn.DISPIMG("ID_A8E5F529AFA74A0BA50B109E42ED5D8B",1)</f>
        <v>=DISPIMG("ID_A8E5F529AFA74A0BA50B109E42ED5D8B",1)</v>
      </c>
      <c r="P95" s="22"/>
    </row>
    <row r="96" ht="30" customHeight="1" spans="1:16">
      <c r="A96" s="9">
        <v>93</v>
      </c>
      <c r="B96" s="12">
        <v>21012152</v>
      </c>
      <c r="C96" s="12" t="s">
        <v>179</v>
      </c>
      <c r="D96" s="12">
        <v>50</v>
      </c>
      <c r="E96" s="12">
        <v>1</v>
      </c>
      <c r="F96" s="12">
        <v>0</v>
      </c>
      <c r="G96" s="12">
        <v>51</v>
      </c>
      <c r="H96" s="9">
        <f t="shared" si="3"/>
        <v>5.1</v>
      </c>
      <c r="I96" s="15">
        <v>52</v>
      </c>
      <c r="J96" s="24" t="s">
        <v>527</v>
      </c>
      <c r="K96" s="24"/>
      <c r="L96" s="24"/>
      <c r="M96" s="24"/>
      <c r="N96" s="24"/>
      <c r="O96" s="3" t="str">
        <f>_xlfn.DISPIMG("ID_9BCDD1B0C04A49BF9DE8056658015A4B",1)</f>
        <v>=DISPIMG("ID_9BCDD1B0C04A49BF9DE8056658015A4B",1)</v>
      </c>
      <c r="P96" s="22"/>
    </row>
    <row r="97" ht="30" customHeight="1" spans="1:16">
      <c r="A97" s="9">
        <v>94</v>
      </c>
      <c r="B97" s="12">
        <v>21012156</v>
      </c>
      <c r="C97" s="12" t="s">
        <v>234</v>
      </c>
      <c r="D97" s="12">
        <v>50</v>
      </c>
      <c r="E97" s="12">
        <v>0</v>
      </c>
      <c r="F97" s="12">
        <v>0</v>
      </c>
      <c r="G97" s="12">
        <v>50</v>
      </c>
      <c r="H97" s="9">
        <f t="shared" si="3"/>
        <v>5</v>
      </c>
      <c r="I97" s="15">
        <v>58</v>
      </c>
      <c r="J97" s="24"/>
      <c r="K97" s="24"/>
      <c r="L97" s="24"/>
      <c r="M97" s="24"/>
      <c r="N97" s="24"/>
      <c r="O97" s="17" t="str">
        <f>_xlfn.DISPIMG("ID_6436E0539C654818AA5F6094AA0017F5",1)</f>
        <v>=DISPIMG("ID_6436E0539C654818AA5F6094AA0017F5",1)</v>
      </c>
      <c r="P97" s="22"/>
    </row>
    <row r="98" ht="30" customHeight="1" spans="1:16">
      <c r="A98" s="9">
        <v>95</v>
      </c>
      <c r="B98" s="12">
        <v>21012157</v>
      </c>
      <c r="C98" s="12" t="s">
        <v>184</v>
      </c>
      <c r="D98" s="12">
        <v>50</v>
      </c>
      <c r="E98" s="12">
        <v>0</v>
      </c>
      <c r="F98" s="12">
        <v>0</v>
      </c>
      <c r="G98" s="12">
        <v>50</v>
      </c>
      <c r="H98" s="9">
        <f t="shared" si="3"/>
        <v>5</v>
      </c>
      <c r="I98" s="15">
        <v>58</v>
      </c>
      <c r="J98" s="24"/>
      <c r="K98" s="24"/>
      <c r="L98" s="24"/>
      <c r="M98" s="24"/>
      <c r="N98" s="24"/>
      <c r="O98" s="17" t="str">
        <f>_xlfn.DISPIMG("ID_397A931FA5EB4BF990AA2E30B01BF5A1",1)</f>
        <v>=DISPIMG("ID_397A931FA5EB4BF990AA2E30B01BF5A1",1)</v>
      </c>
      <c r="P98" s="22"/>
    </row>
    <row r="99" ht="30" customHeight="1" spans="1:16">
      <c r="A99" s="9">
        <v>96</v>
      </c>
      <c r="B99" s="9">
        <v>21012005</v>
      </c>
      <c r="C99" s="9" t="s">
        <v>56</v>
      </c>
      <c r="D99" s="9">
        <v>50</v>
      </c>
      <c r="E99" s="9">
        <v>5</v>
      </c>
      <c r="F99" s="9">
        <v>0</v>
      </c>
      <c r="G99" s="9">
        <v>55</v>
      </c>
      <c r="H99" s="9">
        <f t="shared" si="3"/>
        <v>5.5</v>
      </c>
      <c r="I99" s="15">
        <v>40</v>
      </c>
      <c r="J99" s="16" t="s">
        <v>528</v>
      </c>
      <c r="K99" s="16"/>
      <c r="L99" s="16"/>
      <c r="M99" s="16"/>
      <c r="N99" s="16"/>
      <c r="O99" s="17" t="str">
        <f>_xlfn.DISPIMG("ID_77EEE50D838843DC9C4910B7ADB0C470",1)</f>
        <v>=DISPIMG("ID_77EEE50D838843DC9C4910B7ADB0C470",1)</v>
      </c>
      <c r="P99" s="22"/>
    </row>
    <row r="100" ht="30" customHeight="1" spans="1:16">
      <c r="A100" s="9">
        <v>97</v>
      </c>
      <c r="B100" s="9">
        <v>21012008</v>
      </c>
      <c r="C100" s="9" t="s">
        <v>52</v>
      </c>
      <c r="D100" s="9">
        <v>50</v>
      </c>
      <c r="E100" s="9">
        <v>9</v>
      </c>
      <c r="F100" s="9">
        <v>0</v>
      </c>
      <c r="G100" s="9">
        <v>59</v>
      </c>
      <c r="H100" s="9">
        <f t="shared" si="3"/>
        <v>5.9</v>
      </c>
      <c r="I100" s="15">
        <v>27</v>
      </c>
      <c r="J100" s="18" t="s">
        <v>529</v>
      </c>
      <c r="K100" s="18"/>
      <c r="L100" s="18"/>
      <c r="M100" s="18"/>
      <c r="N100" s="18"/>
      <c r="O100" s="17" t="str">
        <f>_xlfn.DISPIMG("ID_744E1C5EA7C24468960DAA33BBC558BE",1)</f>
        <v>=DISPIMG("ID_744E1C5EA7C24468960DAA33BBC558BE",1)</v>
      </c>
      <c r="P100" s="22"/>
    </row>
    <row r="101" ht="30" customHeight="1" spans="1:16">
      <c r="A101" s="9">
        <v>98</v>
      </c>
      <c r="B101" s="9">
        <v>21012015</v>
      </c>
      <c r="C101" s="9" t="s">
        <v>62</v>
      </c>
      <c r="D101" s="9">
        <v>50</v>
      </c>
      <c r="E101" s="9">
        <v>5</v>
      </c>
      <c r="F101" s="9">
        <v>0</v>
      </c>
      <c r="G101" s="9">
        <v>55</v>
      </c>
      <c r="H101" s="9">
        <f t="shared" ref="H101:H132" si="4">G101*0.1</f>
        <v>5.5</v>
      </c>
      <c r="I101" s="15">
        <v>40</v>
      </c>
      <c r="J101" s="27" t="s">
        <v>530</v>
      </c>
      <c r="K101" s="27"/>
      <c r="L101" s="27"/>
      <c r="M101" s="27"/>
      <c r="N101" s="27"/>
      <c r="O101" s="17" t="str">
        <f>_xlfn.DISPIMG("ID_D5D0B59EACA34595AA20E89475C9ECB8",1)</f>
        <v>=DISPIMG("ID_D5D0B59EACA34595AA20E89475C9ECB8",1)</v>
      </c>
      <c r="P101" s="22"/>
    </row>
    <row r="102" ht="30" customHeight="1" spans="1:16">
      <c r="A102" s="9">
        <v>99</v>
      </c>
      <c r="B102" s="9">
        <v>21012018</v>
      </c>
      <c r="C102" s="9" t="s">
        <v>34</v>
      </c>
      <c r="D102" s="9">
        <v>50</v>
      </c>
      <c r="E102" s="9">
        <v>27</v>
      </c>
      <c r="F102" s="9">
        <v>0</v>
      </c>
      <c r="G102" s="9">
        <v>77</v>
      </c>
      <c r="H102" s="9">
        <f t="shared" si="4"/>
        <v>7.7</v>
      </c>
      <c r="I102" s="15">
        <v>9</v>
      </c>
      <c r="J102" s="27" t="s">
        <v>531</v>
      </c>
      <c r="K102" s="27"/>
      <c r="L102" s="27"/>
      <c r="M102" s="27"/>
      <c r="N102" s="27"/>
      <c r="O102" s="17" t="str">
        <f>_xlfn.DISPIMG("ID_CAFEA503AF144665922C4D183E2D96BA",1)</f>
        <v>=DISPIMG("ID_CAFEA503AF144665922C4D183E2D96BA",1)</v>
      </c>
      <c r="P102" s="22"/>
    </row>
    <row r="103" ht="30" customHeight="1" spans="1:16">
      <c r="A103" s="9">
        <v>100</v>
      </c>
      <c r="B103" s="9">
        <v>21012026</v>
      </c>
      <c r="C103" s="9" t="s">
        <v>30</v>
      </c>
      <c r="D103" s="9">
        <v>50</v>
      </c>
      <c r="E103" s="9">
        <v>35.5</v>
      </c>
      <c r="F103" s="9">
        <v>0</v>
      </c>
      <c r="G103" s="9">
        <v>85.5</v>
      </c>
      <c r="H103" s="9">
        <f t="shared" si="4"/>
        <v>8.55</v>
      </c>
      <c r="I103" s="15">
        <v>7</v>
      </c>
      <c r="J103" s="18" t="s">
        <v>532</v>
      </c>
      <c r="K103" s="18"/>
      <c r="L103" s="18"/>
      <c r="M103" s="18"/>
      <c r="N103" s="18"/>
      <c r="O103" s="17" t="str">
        <f>_xlfn.DISPIMG("ID_175BC80E5D244DEA8E89C69806690501",1)</f>
        <v>=DISPIMG("ID_175BC80E5D244DEA8E89C69806690501",1)</v>
      </c>
      <c r="P103" s="22"/>
    </row>
    <row r="104" ht="30" customHeight="1" spans="1:16">
      <c r="A104" s="9">
        <v>101</v>
      </c>
      <c r="B104" s="9">
        <v>21012029</v>
      </c>
      <c r="C104" s="9" t="s">
        <v>46</v>
      </c>
      <c r="D104" s="9">
        <v>50</v>
      </c>
      <c r="E104" s="9">
        <v>12</v>
      </c>
      <c r="F104" s="9">
        <v>0</v>
      </c>
      <c r="G104" s="9">
        <v>62</v>
      </c>
      <c r="H104" s="9">
        <f t="shared" si="4"/>
        <v>6.2</v>
      </c>
      <c r="I104" s="15">
        <v>18</v>
      </c>
      <c r="J104" s="18" t="s">
        <v>533</v>
      </c>
      <c r="K104" s="18"/>
      <c r="L104" s="18"/>
      <c r="M104" s="18"/>
      <c r="N104" s="18"/>
      <c r="O104" s="17" t="str">
        <f>_xlfn.DISPIMG("ID_ECD49A0479BE4A9EBA14814787668E30",1)</f>
        <v>=DISPIMG("ID_ECD49A0479BE4A9EBA14814787668E30",1)</v>
      </c>
      <c r="P104" s="22"/>
    </row>
    <row r="105" ht="30" customHeight="1" spans="1:16">
      <c r="A105" s="9">
        <v>102</v>
      </c>
      <c r="B105" s="9">
        <v>21012037</v>
      </c>
      <c r="C105" s="9" t="s">
        <v>88</v>
      </c>
      <c r="D105" s="9">
        <v>50</v>
      </c>
      <c r="E105" s="9">
        <v>9</v>
      </c>
      <c r="F105" s="9">
        <v>0</v>
      </c>
      <c r="G105" s="9">
        <v>59</v>
      </c>
      <c r="H105" s="9">
        <f t="shared" si="4"/>
        <v>5.9</v>
      </c>
      <c r="I105" s="15">
        <v>27</v>
      </c>
      <c r="J105" s="18" t="s">
        <v>534</v>
      </c>
      <c r="K105" s="18"/>
      <c r="L105" s="18"/>
      <c r="M105" s="18"/>
      <c r="N105" s="18"/>
      <c r="O105" s="17" t="str">
        <f>_xlfn.DISPIMG("ID_C796B9D6D56746DB9129A3CFAEB4C426",1)</f>
        <v>=DISPIMG("ID_C796B9D6D56746DB9129A3CFAEB4C426",1)</v>
      </c>
      <c r="P105" s="22"/>
    </row>
    <row r="106" ht="30" customHeight="1" spans="1:16">
      <c r="A106" s="9">
        <v>103</v>
      </c>
      <c r="B106" s="9">
        <v>21012040</v>
      </c>
      <c r="C106" s="9" t="s">
        <v>269</v>
      </c>
      <c r="D106" s="9">
        <v>50</v>
      </c>
      <c r="E106" s="9">
        <v>0</v>
      </c>
      <c r="F106" s="9">
        <v>0</v>
      </c>
      <c r="G106" s="9">
        <v>50</v>
      </c>
      <c r="H106" s="9">
        <f t="shared" si="4"/>
        <v>5</v>
      </c>
      <c r="I106" s="15">
        <v>58</v>
      </c>
      <c r="J106" s="16"/>
      <c r="K106" s="16"/>
      <c r="L106" s="16"/>
      <c r="M106" s="16"/>
      <c r="N106" s="16"/>
      <c r="O106" s="17" t="str">
        <f>_xlfn.DISPIMG("ID_B59E3BB764504FCCA5BDB03D0B8EB06E",1)</f>
        <v>=DISPIMG("ID_B59E3BB764504FCCA5BDB03D0B8EB06E",1)</v>
      </c>
      <c r="P106" s="22"/>
    </row>
    <row r="107" ht="30" customHeight="1" spans="1:16">
      <c r="A107" s="9">
        <v>104</v>
      </c>
      <c r="B107" s="9">
        <v>21012047</v>
      </c>
      <c r="C107" s="9" t="s">
        <v>306</v>
      </c>
      <c r="D107" s="9">
        <v>50</v>
      </c>
      <c r="E107" s="9">
        <v>0</v>
      </c>
      <c r="F107" s="9">
        <v>0</v>
      </c>
      <c r="G107" s="9">
        <v>50</v>
      </c>
      <c r="H107" s="9">
        <f t="shared" si="4"/>
        <v>5</v>
      </c>
      <c r="I107" s="15">
        <v>58</v>
      </c>
      <c r="J107" s="16"/>
      <c r="K107" s="16"/>
      <c r="L107" s="16"/>
      <c r="M107" s="16"/>
      <c r="N107" s="16"/>
      <c r="O107" s="17" t="str">
        <f>_xlfn.DISPIMG("ID_DBF44D1DAE9E4AF08EE756ACCDB3D85A",1)</f>
        <v>=DISPIMG("ID_DBF44D1DAE9E4AF08EE756ACCDB3D85A",1)</v>
      </c>
      <c r="P107" s="22"/>
    </row>
    <row r="108" ht="30" customHeight="1" spans="1:16">
      <c r="A108" s="9">
        <v>105</v>
      </c>
      <c r="B108" s="9">
        <v>21012050</v>
      </c>
      <c r="C108" s="9" t="s">
        <v>282</v>
      </c>
      <c r="D108" s="9">
        <v>50</v>
      </c>
      <c r="E108" s="9">
        <v>0</v>
      </c>
      <c r="F108" s="9">
        <v>0</v>
      </c>
      <c r="G108" s="9">
        <v>50</v>
      </c>
      <c r="H108" s="9">
        <f t="shared" si="4"/>
        <v>5</v>
      </c>
      <c r="I108" s="15">
        <v>58</v>
      </c>
      <c r="J108" s="16"/>
      <c r="K108" s="16"/>
      <c r="L108" s="16"/>
      <c r="M108" s="16"/>
      <c r="N108" s="16"/>
      <c r="O108" s="17" t="str">
        <f>_xlfn.DISPIMG("ID_7450C870FD8D4066BC3A8EEF5A09FD68",1)</f>
        <v>=DISPIMG("ID_7450C870FD8D4066BC3A8EEF5A09FD68",1)</v>
      </c>
      <c r="P108" s="22"/>
    </row>
    <row r="109" ht="30" customHeight="1" spans="1:16">
      <c r="A109" s="9">
        <v>106</v>
      </c>
      <c r="B109" s="9">
        <v>21012058</v>
      </c>
      <c r="C109" s="9" t="s">
        <v>246</v>
      </c>
      <c r="D109" s="9">
        <v>50</v>
      </c>
      <c r="E109" s="9">
        <v>0</v>
      </c>
      <c r="F109" s="9">
        <v>0</v>
      </c>
      <c r="G109" s="9">
        <v>50</v>
      </c>
      <c r="H109" s="9">
        <f t="shared" si="4"/>
        <v>5</v>
      </c>
      <c r="I109" s="15">
        <v>58</v>
      </c>
      <c r="J109" s="16"/>
      <c r="K109" s="16"/>
      <c r="L109" s="16"/>
      <c r="M109" s="16"/>
      <c r="N109" s="16"/>
      <c r="O109" s="17" t="str">
        <f>_xlfn.DISPIMG("ID_CB16E147D4A4458AAC9B9E42A98B4F60",1)</f>
        <v>=DISPIMG("ID_CB16E147D4A4458AAC9B9E42A98B4F60",1)</v>
      </c>
      <c r="P109" s="22"/>
    </row>
    <row r="110" ht="30" customHeight="1" spans="1:16">
      <c r="A110" s="9">
        <v>107</v>
      </c>
      <c r="B110" s="9">
        <v>21012061</v>
      </c>
      <c r="C110" s="9" t="s">
        <v>243</v>
      </c>
      <c r="D110" s="9">
        <v>50</v>
      </c>
      <c r="E110" s="9">
        <v>0</v>
      </c>
      <c r="F110" s="9">
        <v>0</v>
      </c>
      <c r="G110" s="9">
        <v>50</v>
      </c>
      <c r="H110" s="9">
        <f t="shared" si="4"/>
        <v>5</v>
      </c>
      <c r="I110" s="15">
        <v>58</v>
      </c>
      <c r="J110" s="16"/>
      <c r="K110" s="16"/>
      <c r="L110" s="16"/>
      <c r="M110" s="16"/>
      <c r="N110" s="16"/>
      <c r="O110" s="17" t="str">
        <f>_xlfn.DISPIMG("ID_55EB950D551E4CB4A91898872C5A3472",1)</f>
        <v>=DISPIMG("ID_55EB950D551E4CB4A91898872C5A3472",1)</v>
      </c>
      <c r="P110" s="22"/>
    </row>
    <row r="111" ht="30" customHeight="1" spans="1:16">
      <c r="A111" s="9">
        <v>108</v>
      </c>
      <c r="B111" s="9">
        <v>21012069</v>
      </c>
      <c r="C111" s="9" t="s">
        <v>127</v>
      </c>
      <c r="D111" s="9">
        <v>50</v>
      </c>
      <c r="E111" s="9">
        <v>0</v>
      </c>
      <c r="F111" s="9">
        <v>0</v>
      </c>
      <c r="G111" s="9">
        <v>50</v>
      </c>
      <c r="H111" s="9">
        <f t="shared" si="4"/>
        <v>5</v>
      </c>
      <c r="I111" s="15">
        <v>58</v>
      </c>
      <c r="J111" s="16"/>
      <c r="K111" s="16"/>
      <c r="L111" s="16"/>
      <c r="M111" s="16"/>
      <c r="N111" s="16"/>
      <c r="O111" s="17" t="str">
        <f>_xlfn.DISPIMG("ID_57EB71BD5653469AB53E9E5DABE76D29",1)</f>
        <v>=DISPIMG("ID_57EB71BD5653469AB53E9E5DABE76D29",1)</v>
      </c>
      <c r="P111" s="22"/>
    </row>
    <row r="112" ht="30" customHeight="1" spans="1:16">
      <c r="A112" s="9">
        <v>109</v>
      </c>
      <c r="B112" s="9">
        <v>21012073</v>
      </c>
      <c r="C112" s="9" t="s">
        <v>111</v>
      </c>
      <c r="D112" s="9">
        <v>50</v>
      </c>
      <c r="E112" s="9">
        <v>0</v>
      </c>
      <c r="F112" s="9">
        <v>0</v>
      </c>
      <c r="G112" s="9">
        <v>50</v>
      </c>
      <c r="H112" s="9">
        <f t="shared" si="4"/>
        <v>5</v>
      </c>
      <c r="I112" s="15">
        <v>58</v>
      </c>
      <c r="J112" s="16"/>
      <c r="K112" s="16"/>
      <c r="L112" s="16"/>
      <c r="M112" s="16"/>
      <c r="N112" s="16"/>
      <c r="O112" s="17" t="str">
        <f>_xlfn.DISPIMG("ID_60868A461C5C4ABFAAD8E77119EC4B7D",1)</f>
        <v>=DISPIMG("ID_60868A461C5C4ABFAAD8E77119EC4B7D",1)</v>
      </c>
      <c r="P112" s="22"/>
    </row>
    <row r="113" ht="30" customHeight="1" spans="1:16">
      <c r="A113" s="9">
        <v>110</v>
      </c>
      <c r="B113" s="9">
        <v>21012082</v>
      </c>
      <c r="C113" s="9" t="s">
        <v>84</v>
      </c>
      <c r="D113" s="9">
        <v>50</v>
      </c>
      <c r="E113" s="9">
        <v>0</v>
      </c>
      <c r="F113" s="9">
        <v>0</v>
      </c>
      <c r="G113" s="9">
        <v>50</v>
      </c>
      <c r="H113" s="9">
        <f t="shared" si="4"/>
        <v>5</v>
      </c>
      <c r="I113" s="15">
        <v>58</v>
      </c>
      <c r="J113" s="16"/>
      <c r="K113" s="16"/>
      <c r="L113" s="16"/>
      <c r="M113" s="16"/>
      <c r="N113" s="16"/>
      <c r="O113" s="17" t="str">
        <f>_xlfn.DISPIMG("ID_5204E82EA48A4166A42CB546D0CE922F",1)</f>
        <v>=DISPIMG("ID_5204E82EA48A4166A42CB546D0CE922F",1)</v>
      </c>
      <c r="P113" s="22"/>
    </row>
    <row r="114" ht="30" customHeight="1" spans="1:16">
      <c r="A114" s="9">
        <v>111</v>
      </c>
      <c r="B114" s="9">
        <v>21012085</v>
      </c>
      <c r="C114" s="9" t="s">
        <v>132</v>
      </c>
      <c r="D114" s="9">
        <v>50</v>
      </c>
      <c r="E114" s="9">
        <v>0</v>
      </c>
      <c r="F114" s="9">
        <v>0</v>
      </c>
      <c r="G114" s="9">
        <v>50</v>
      </c>
      <c r="H114" s="9">
        <f t="shared" si="4"/>
        <v>5</v>
      </c>
      <c r="I114" s="15">
        <v>58</v>
      </c>
      <c r="J114" s="16"/>
      <c r="K114" s="16"/>
      <c r="L114" s="16"/>
      <c r="M114" s="16"/>
      <c r="N114" s="16"/>
      <c r="O114" s="17" t="str">
        <f>_xlfn.DISPIMG("ID_B76FEFD76EAD48FEA3C0821A15C75F91",1)</f>
        <v>=DISPIMG("ID_B76FEFD76EAD48FEA3C0821A15C75F91",1)</v>
      </c>
      <c r="P114" s="22"/>
    </row>
    <row r="115" ht="30" customHeight="1" spans="1:16">
      <c r="A115" s="9">
        <v>112</v>
      </c>
      <c r="B115" s="9">
        <v>21012094</v>
      </c>
      <c r="C115" s="9" t="s">
        <v>292</v>
      </c>
      <c r="D115" s="9">
        <v>50</v>
      </c>
      <c r="E115" s="9">
        <v>27</v>
      </c>
      <c r="F115" s="9">
        <v>0</v>
      </c>
      <c r="G115" s="9">
        <v>77</v>
      </c>
      <c r="H115" s="9">
        <f t="shared" si="4"/>
        <v>7.7</v>
      </c>
      <c r="I115" s="15">
        <v>9</v>
      </c>
      <c r="J115" s="28" t="s">
        <v>535</v>
      </c>
      <c r="K115" s="28"/>
      <c r="L115" s="28"/>
      <c r="M115" s="28"/>
      <c r="N115" s="28"/>
      <c r="O115" s="3" t="str">
        <f>_xlfn.DISPIMG("ID_500ED8D9C99243A3AFCEBCFC46B75CC6",1)</f>
        <v>=DISPIMG("ID_500ED8D9C99243A3AFCEBCFC46B75CC6",1)</v>
      </c>
      <c r="P115" s="22"/>
    </row>
    <row r="116" ht="30" customHeight="1" spans="1:16">
      <c r="A116" s="9">
        <v>113</v>
      </c>
      <c r="B116" s="9">
        <v>21012098</v>
      </c>
      <c r="C116" s="9" t="s">
        <v>139</v>
      </c>
      <c r="D116" s="9">
        <v>50</v>
      </c>
      <c r="E116" s="9">
        <v>0</v>
      </c>
      <c r="F116" s="9">
        <v>0</v>
      </c>
      <c r="G116" s="9">
        <v>50</v>
      </c>
      <c r="H116" s="9">
        <f t="shared" si="4"/>
        <v>5</v>
      </c>
      <c r="I116" s="15">
        <v>58</v>
      </c>
      <c r="J116" s="16"/>
      <c r="K116" s="16"/>
      <c r="L116" s="16"/>
      <c r="M116" s="16"/>
      <c r="N116" s="16"/>
      <c r="O116" s="17" t="str">
        <f>_xlfn.DISPIMG("ID_96914C482CBB43838837FFD5EF4963A3",1)</f>
        <v>=DISPIMG("ID_96914C482CBB43838837FFD5EF4963A3",1)</v>
      </c>
      <c r="P116" s="22"/>
    </row>
    <row r="117" ht="30" customHeight="1" spans="1:16">
      <c r="A117" s="9">
        <v>114</v>
      </c>
      <c r="B117" s="9">
        <v>21012105</v>
      </c>
      <c r="C117" s="9" t="s">
        <v>74</v>
      </c>
      <c r="D117" s="9">
        <v>50</v>
      </c>
      <c r="E117" s="9">
        <v>0</v>
      </c>
      <c r="F117" s="9">
        <v>0</v>
      </c>
      <c r="G117" s="9">
        <v>50</v>
      </c>
      <c r="H117" s="9">
        <f t="shared" si="4"/>
        <v>5</v>
      </c>
      <c r="I117" s="15">
        <v>58</v>
      </c>
      <c r="J117" s="16"/>
      <c r="K117" s="16"/>
      <c r="L117" s="16"/>
      <c r="M117" s="16"/>
      <c r="N117" s="16"/>
      <c r="O117" s="17" t="str">
        <f>_xlfn.DISPIMG("ID_7BA27B6234F54784B444E7D01D11D62E",1)</f>
        <v>=DISPIMG("ID_7BA27B6234F54784B444E7D01D11D62E",1)</v>
      </c>
      <c r="P117" s="22"/>
    </row>
    <row r="118" ht="30" customHeight="1" spans="1:16">
      <c r="A118" s="9">
        <v>115</v>
      </c>
      <c r="B118" s="9">
        <v>21012108</v>
      </c>
      <c r="C118" s="9" t="s">
        <v>38</v>
      </c>
      <c r="D118" s="9">
        <v>50</v>
      </c>
      <c r="E118" s="9">
        <v>34</v>
      </c>
      <c r="F118" s="9">
        <v>0</v>
      </c>
      <c r="G118" s="9">
        <v>84</v>
      </c>
      <c r="H118" s="9">
        <f t="shared" si="4"/>
        <v>8.4</v>
      </c>
      <c r="I118" s="15">
        <v>8</v>
      </c>
      <c r="J118" s="27" t="s">
        <v>536</v>
      </c>
      <c r="K118" s="27"/>
      <c r="L118" s="27"/>
      <c r="M118" s="27"/>
      <c r="N118" s="27"/>
      <c r="O118" s="17" t="str">
        <f>_xlfn.DISPIMG("ID_0FAEE720185142ACA4D0BEFBC4494BDE",1)</f>
        <v>=DISPIMG("ID_0FAEE720185142ACA4D0BEFBC4494BDE",1)</v>
      </c>
      <c r="P118" s="22"/>
    </row>
    <row r="119" ht="30" customHeight="1" spans="1:16">
      <c r="A119" s="9">
        <v>116</v>
      </c>
      <c r="B119" s="9">
        <v>21012119</v>
      </c>
      <c r="C119" s="9" t="s">
        <v>300</v>
      </c>
      <c r="D119" s="9">
        <v>50</v>
      </c>
      <c r="E119" s="9">
        <v>0</v>
      </c>
      <c r="F119" s="9">
        <v>0</v>
      </c>
      <c r="G119" s="9">
        <v>50</v>
      </c>
      <c r="H119" s="9">
        <f t="shared" si="4"/>
        <v>5</v>
      </c>
      <c r="I119" s="15">
        <v>58</v>
      </c>
      <c r="J119" s="16"/>
      <c r="K119" s="16"/>
      <c r="L119" s="16"/>
      <c r="M119" s="16"/>
      <c r="N119" s="16"/>
      <c r="O119" s="17" t="str">
        <f>_xlfn.DISPIMG("ID_BBF7E13BF54F45FABF255710FA4537C1",1)</f>
        <v>=DISPIMG("ID_BBF7E13BF54F45FABF255710FA4537C1",1)</v>
      </c>
      <c r="P119" s="22"/>
    </row>
    <row r="120" ht="30" customHeight="1" spans="1:16">
      <c r="A120" s="9">
        <v>117</v>
      </c>
      <c r="B120" s="9">
        <v>21012122</v>
      </c>
      <c r="C120" s="9" t="s">
        <v>72</v>
      </c>
      <c r="D120" s="9">
        <v>50</v>
      </c>
      <c r="E120" s="9">
        <v>0</v>
      </c>
      <c r="F120" s="9">
        <v>0</v>
      </c>
      <c r="G120" s="9">
        <v>50</v>
      </c>
      <c r="H120" s="9">
        <f t="shared" si="4"/>
        <v>5</v>
      </c>
      <c r="I120" s="15">
        <v>58</v>
      </c>
      <c r="J120" s="16"/>
      <c r="K120" s="16"/>
      <c r="L120" s="16"/>
      <c r="M120" s="16"/>
      <c r="N120" s="16"/>
      <c r="O120" s="17" t="str">
        <f>_xlfn.DISPIMG("ID_67A5A10BE2D94EE585CD9A6B36F1FEB5",1)</f>
        <v>=DISPIMG("ID_67A5A10BE2D94EE585CD9A6B36F1FEB5",1)</v>
      </c>
      <c r="P120" s="22"/>
    </row>
    <row r="121" ht="30" customHeight="1" spans="1:16">
      <c r="A121" s="9">
        <v>118</v>
      </c>
      <c r="B121" s="9">
        <v>21012055</v>
      </c>
      <c r="C121" s="9" t="s">
        <v>298</v>
      </c>
      <c r="D121" s="9">
        <v>50</v>
      </c>
      <c r="E121" s="9">
        <v>0</v>
      </c>
      <c r="F121" s="9">
        <v>0</v>
      </c>
      <c r="G121" s="9">
        <v>50</v>
      </c>
      <c r="H121" s="9">
        <f t="shared" si="4"/>
        <v>5</v>
      </c>
      <c r="I121" s="15">
        <v>58</v>
      </c>
      <c r="J121" s="16"/>
      <c r="K121" s="16"/>
      <c r="L121" s="16"/>
      <c r="M121" s="16"/>
      <c r="N121" s="16"/>
      <c r="O121" s="17" t="str">
        <f>_xlfn.DISPIMG("ID_05E1DA1505184721882936F8B2CF859E",1)</f>
        <v>=DISPIMG("ID_05E1DA1505184721882936F8B2CF859E",1)</v>
      </c>
      <c r="P121" s="22"/>
    </row>
    <row r="122" ht="30" customHeight="1" spans="1:16">
      <c r="A122" s="9">
        <v>119</v>
      </c>
      <c r="B122" s="23">
        <v>21012115</v>
      </c>
      <c r="C122" s="9" t="s">
        <v>296</v>
      </c>
      <c r="D122" s="9">
        <v>50</v>
      </c>
      <c r="E122" s="9">
        <v>0</v>
      </c>
      <c r="F122" s="9">
        <v>0</v>
      </c>
      <c r="G122" s="9">
        <v>50</v>
      </c>
      <c r="H122" s="9">
        <f t="shared" si="4"/>
        <v>5</v>
      </c>
      <c r="I122" s="15">
        <v>58</v>
      </c>
      <c r="J122" s="16"/>
      <c r="K122" s="16"/>
      <c r="L122" s="16"/>
      <c r="M122" s="16"/>
      <c r="N122" s="16"/>
      <c r="O122" s="17" t="str">
        <f>_xlfn.DISPIMG("ID_32B6224467F641CCA678F6D5ADB26DAA",1)</f>
        <v>=DISPIMG("ID_32B6224467F641CCA678F6D5ADB26DAA",1)</v>
      </c>
      <c r="P122" s="22"/>
    </row>
    <row r="123" ht="30" customHeight="1" spans="1:16">
      <c r="A123" s="9">
        <v>120</v>
      </c>
      <c r="B123" s="9">
        <v>21012124</v>
      </c>
      <c r="C123" s="9" t="s">
        <v>103</v>
      </c>
      <c r="D123" s="9">
        <v>50</v>
      </c>
      <c r="E123" s="9">
        <v>5</v>
      </c>
      <c r="F123" s="9">
        <v>0</v>
      </c>
      <c r="G123" s="9">
        <v>55</v>
      </c>
      <c r="H123" s="9">
        <f t="shared" si="4"/>
        <v>5.5</v>
      </c>
      <c r="I123" s="15">
        <v>40</v>
      </c>
      <c r="J123" s="28" t="s">
        <v>537</v>
      </c>
      <c r="K123" s="28"/>
      <c r="L123" s="28"/>
      <c r="M123" s="28"/>
      <c r="N123" s="28"/>
      <c r="O123" s="17" t="str">
        <f>_xlfn.DISPIMG("ID_014EDCFFA2D844C192DC068E029AE4CD",1)</f>
        <v>=DISPIMG("ID_014EDCFFA2D844C192DC068E029AE4CD",1)</v>
      </c>
      <c r="P123" s="22"/>
    </row>
    <row r="124" ht="30" customHeight="1" spans="1:16">
      <c r="A124" s="9">
        <v>121</v>
      </c>
      <c r="B124" s="9">
        <v>21012136</v>
      </c>
      <c r="C124" s="9" t="s">
        <v>66</v>
      </c>
      <c r="D124" s="9">
        <v>50</v>
      </c>
      <c r="E124" s="9">
        <v>0</v>
      </c>
      <c r="F124" s="9">
        <v>0</v>
      </c>
      <c r="G124" s="9">
        <v>50</v>
      </c>
      <c r="H124" s="9">
        <f t="shared" si="4"/>
        <v>5</v>
      </c>
      <c r="I124" s="15">
        <v>58</v>
      </c>
      <c r="J124" s="16"/>
      <c r="K124" s="16"/>
      <c r="L124" s="16"/>
      <c r="M124" s="16"/>
      <c r="N124" s="16"/>
      <c r="O124" s="17" t="str">
        <f>_xlfn.DISPIMG("ID_F1ED1C426B89404799C5B2E347325D7E",1)</f>
        <v>=DISPIMG("ID_F1ED1C426B89404799C5B2E347325D7E",1)</v>
      </c>
      <c r="P124" s="22"/>
    </row>
    <row r="125" ht="30" customHeight="1" spans="1:16">
      <c r="A125" s="9">
        <v>122</v>
      </c>
      <c r="B125" s="9">
        <v>21012139</v>
      </c>
      <c r="C125" s="9" t="s">
        <v>80</v>
      </c>
      <c r="D125" s="9">
        <v>50</v>
      </c>
      <c r="E125" s="9">
        <v>0</v>
      </c>
      <c r="F125" s="9">
        <v>0</v>
      </c>
      <c r="G125" s="9">
        <v>50</v>
      </c>
      <c r="H125" s="9">
        <f t="shared" si="4"/>
        <v>5</v>
      </c>
      <c r="I125" s="15">
        <v>58</v>
      </c>
      <c r="J125" s="16"/>
      <c r="K125" s="16"/>
      <c r="L125" s="16"/>
      <c r="M125" s="16"/>
      <c r="N125" s="16"/>
      <c r="O125" s="17" t="str">
        <f>_xlfn.DISPIMG("ID_ACF98FED961B4FB08D4B625A97C629F8",1)</f>
        <v>=DISPIMG("ID_ACF98FED961B4FB08D4B625A97C629F8",1)</v>
      </c>
      <c r="P125" s="22"/>
    </row>
    <row r="126" ht="30" customHeight="1" spans="1:16">
      <c r="A126" s="9">
        <v>123</v>
      </c>
      <c r="B126" s="9">
        <v>21012146</v>
      </c>
      <c r="C126" s="9" t="s">
        <v>250</v>
      </c>
      <c r="D126" s="9">
        <v>50</v>
      </c>
      <c r="E126" s="9">
        <v>0</v>
      </c>
      <c r="F126" s="9">
        <v>0</v>
      </c>
      <c r="G126" s="9">
        <v>50</v>
      </c>
      <c r="H126" s="9">
        <f t="shared" si="4"/>
        <v>5</v>
      </c>
      <c r="I126" s="15">
        <v>58</v>
      </c>
      <c r="J126" s="16"/>
      <c r="K126" s="16"/>
      <c r="L126" s="16"/>
      <c r="M126" s="16"/>
      <c r="N126" s="16"/>
      <c r="O126" s="17" t="str">
        <f>_xlfn.DISPIMG("ID_CD3E56EDC4AA4290A16CE18B393DABEA",1)</f>
        <v>=DISPIMG("ID_CD3E56EDC4AA4290A16CE18B393DABEA",1)</v>
      </c>
      <c r="P126" s="22"/>
    </row>
    <row r="127" ht="30" customHeight="1" spans="1:16">
      <c r="A127" s="9">
        <v>124</v>
      </c>
      <c r="B127" s="9">
        <v>21012150</v>
      </c>
      <c r="C127" s="9" t="s">
        <v>159</v>
      </c>
      <c r="D127" s="9">
        <v>50</v>
      </c>
      <c r="E127" s="9">
        <v>0</v>
      </c>
      <c r="F127" s="9">
        <v>0</v>
      </c>
      <c r="G127" s="9">
        <v>50</v>
      </c>
      <c r="H127" s="9">
        <f t="shared" si="4"/>
        <v>5</v>
      </c>
      <c r="I127" s="15">
        <v>58</v>
      </c>
      <c r="J127" s="16"/>
      <c r="K127" s="16"/>
      <c r="L127" s="16"/>
      <c r="M127" s="16"/>
      <c r="N127" s="16"/>
      <c r="O127" s="26" t="str">
        <f>_xlfn.DISPIMG("ID_0B32136935114C05A43636435171931E",1)</f>
        <v>=DISPIMG("ID_0B32136935114C05A43636435171931E",1)</v>
      </c>
      <c r="P127" s="22"/>
    </row>
    <row r="128" ht="30" customHeight="1" spans="1:16">
      <c r="A128" s="9">
        <v>125</v>
      </c>
      <c r="B128" s="9">
        <v>21012160</v>
      </c>
      <c r="C128" s="9" t="s">
        <v>294</v>
      </c>
      <c r="D128" s="9">
        <v>50</v>
      </c>
      <c r="E128" s="9">
        <v>0</v>
      </c>
      <c r="F128" s="9">
        <v>0</v>
      </c>
      <c r="G128" s="9">
        <v>50</v>
      </c>
      <c r="H128" s="9">
        <f t="shared" si="4"/>
        <v>5</v>
      </c>
      <c r="I128" s="15">
        <v>58</v>
      </c>
      <c r="J128" s="16"/>
      <c r="K128" s="16"/>
      <c r="L128" s="16"/>
      <c r="M128" s="16"/>
      <c r="N128" s="16"/>
      <c r="O128" s="17" t="str">
        <f>_xlfn.DISPIMG("ID_8BCBBEDE58EB4BCDA47C8E43B9BBD399",1)</f>
        <v>=DISPIMG("ID_8BCBBEDE58EB4BCDA47C8E43B9BBD399",1)</v>
      </c>
      <c r="P128" s="22"/>
    </row>
    <row r="129" ht="30" customHeight="1" spans="1:16">
      <c r="A129" s="9">
        <v>126</v>
      </c>
      <c r="B129" s="9">
        <v>21012006</v>
      </c>
      <c r="C129" s="23" t="s">
        <v>125</v>
      </c>
      <c r="D129" s="9">
        <v>50</v>
      </c>
      <c r="E129" s="9">
        <v>0.5</v>
      </c>
      <c r="F129" s="9">
        <v>0</v>
      </c>
      <c r="G129" s="9">
        <v>50.5</v>
      </c>
      <c r="H129" s="9">
        <f t="shared" si="4"/>
        <v>5.05</v>
      </c>
      <c r="I129" s="15">
        <v>56</v>
      </c>
      <c r="J129" s="18" t="s">
        <v>538</v>
      </c>
      <c r="K129" s="18"/>
      <c r="L129" s="18"/>
      <c r="M129" s="18"/>
      <c r="N129" s="18"/>
      <c r="O129" s="17" t="str">
        <f>_xlfn.DISPIMG("ID_97041EC4336E4DFFA0842892CEEBB625",1)</f>
        <v>=DISPIMG("ID_97041EC4336E4DFFA0842892CEEBB625",1)</v>
      </c>
      <c r="P129" s="22"/>
    </row>
    <row r="130" ht="30" customHeight="1" spans="1:16">
      <c r="A130" s="9">
        <v>127</v>
      </c>
      <c r="B130" s="9">
        <v>21012007</v>
      </c>
      <c r="C130" s="23" t="s">
        <v>21</v>
      </c>
      <c r="D130" s="9">
        <v>50</v>
      </c>
      <c r="E130" s="9">
        <v>49</v>
      </c>
      <c r="F130" s="9">
        <v>0</v>
      </c>
      <c r="G130" s="9">
        <v>99</v>
      </c>
      <c r="H130" s="9">
        <f t="shared" si="4"/>
        <v>9.9</v>
      </c>
      <c r="I130" s="15">
        <v>3</v>
      </c>
      <c r="J130" s="18" t="s">
        <v>539</v>
      </c>
      <c r="K130" s="18"/>
      <c r="L130" s="18"/>
      <c r="M130" s="18"/>
      <c r="N130" s="18"/>
      <c r="O130" s="17" t="str">
        <f>_xlfn.DISPIMG("ID_6F52D634E07148B593CEE84254D5B55F",1)</f>
        <v>=DISPIMG("ID_6F52D634E07148B593CEE84254D5B55F",1)</v>
      </c>
      <c r="P130" s="22"/>
    </row>
    <row r="131" ht="30" customHeight="1" spans="1:16">
      <c r="A131" s="9">
        <v>128</v>
      </c>
      <c r="B131" s="9">
        <v>21012016</v>
      </c>
      <c r="C131" s="23" t="s">
        <v>32</v>
      </c>
      <c r="D131" s="9">
        <v>50</v>
      </c>
      <c r="E131" s="9">
        <v>38</v>
      </c>
      <c r="F131" s="9">
        <v>0</v>
      </c>
      <c r="G131" s="9">
        <v>88</v>
      </c>
      <c r="H131" s="9">
        <f t="shared" si="4"/>
        <v>8.8</v>
      </c>
      <c r="I131" s="15">
        <v>5</v>
      </c>
      <c r="J131" s="18" t="s">
        <v>540</v>
      </c>
      <c r="K131" s="18"/>
      <c r="L131" s="18"/>
      <c r="M131" s="18"/>
      <c r="N131" s="18"/>
      <c r="O131" s="17" t="str">
        <f>_xlfn.DISPIMG("ID_834E695137D140089BCC10E679785AF6",1)</f>
        <v>=DISPIMG("ID_834E695137D140089BCC10E679785AF6",1)</v>
      </c>
      <c r="P131" s="22"/>
    </row>
    <row r="132" ht="30" customHeight="1" spans="1:16">
      <c r="A132" s="9">
        <v>129</v>
      </c>
      <c r="B132" s="9">
        <v>21012017</v>
      </c>
      <c r="C132" s="23" t="s">
        <v>99</v>
      </c>
      <c r="D132" s="9">
        <v>50</v>
      </c>
      <c r="E132" s="9">
        <v>7</v>
      </c>
      <c r="F132" s="9">
        <v>0</v>
      </c>
      <c r="G132" s="9">
        <v>57</v>
      </c>
      <c r="H132" s="9">
        <f t="shared" ref="H132:H160" si="5">G132*0.1</f>
        <v>5.7</v>
      </c>
      <c r="I132" s="15">
        <v>35</v>
      </c>
      <c r="J132" s="18" t="s">
        <v>541</v>
      </c>
      <c r="K132" s="18"/>
      <c r="L132" s="18"/>
      <c r="M132" s="18"/>
      <c r="N132" s="18"/>
      <c r="O132" s="17" t="str">
        <f>_xlfn.DISPIMG("ID_9C1F97DF6C4D4952837F3E3F3973CB0A",1)</f>
        <v>=DISPIMG("ID_9C1F97DF6C4D4952837F3E3F3973CB0A",1)</v>
      </c>
      <c r="P132" s="22"/>
    </row>
    <row r="133" ht="30" customHeight="1" spans="1:16">
      <c r="A133" s="9">
        <v>130</v>
      </c>
      <c r="B133" s="9">
        <v>21012027</v>
      </c>
      <c r="C133" s="23" t="s">
        <v>236</v>
      </c>
      <c r="D133" s="9">
        <v>50</v>
      </c>
      <c r="E133" s="9">
        <v>0</v>
      </c>
      <c r="F133" s="9">
        <v>0</v>
      </c>
      <c r="G133" s="9">
        <v>50</v>
      </c>
      <c r="H133" s="9">
        <f t="shared" si="5"/>
        <v>5</v>
      </c>
      <c r="I133" s="15">
        <v>58</v>
      </c>
      <c r="J133" s="16"/>
      <c r="K133" s="16"/>
      <c r="L133" s="16"/>
      <c r="M133" s="16"/>
      <c r="N133" s="16"/>
      <c r="O133" s="17" t="str">
        <f>_xlfn.DISPIMG("ID_8EBB7600C91D40EBBE2509E8CBE2077B",1)</f>
        <v>=DISPIMG("ID_8EBB7600C91D40EBBE2509E8CBE2077B",1)</v>
      </c>
      <c r="P133" s="22"/>
    </row>
    <row r="134" ht="30" customHeight="1" spans="1:16">
      <c r="A134" s="9">
        <v>131</v>
      </c>
      <c r="B134" s="9">
        <v>21012028</v>
      </c>
      <c r="C134" s="23" t="s">
        <v>60</v>
      </c>
      <c r="D134" s="9">
        <v>50</v>
      </c>
      <c r="E134" s="9">
        <v>10</v>
      </c>
      <c r="F134" s="9">
        <v>0</v>
      </c>
      <c r="G134" s="9">
        <v>60</v>
      </c>
      <c r="H134" s="9">
        <f t="shared" si="5"/>
        <v>6</v>
      </c>
      <c r="I134" s="15">
        <v>21</v>
      </c>
      <c r="J134" s="18" t="s">
        <v>542</v>
      </c>
      <c r="K134" s="18"/>
      <c r="L134" s="18"/>
      <c r="M134" s="18"/>
      <c r="N134" s="18"/>
      <c r="O134" s="17" t="str">
        <f>_xlfn.DISPIMG("ID_6B1D743D192B4931A070D23A4B692881",1)</f>
        <v>=DISPIMG("ID_6B1D743D192B4931A070D23A4B692881",1)</v>
      </c>
      <c r="P134" s="22"/>
    </row>
    <row r="135" ht="30" customHeight="1" spans="1:16">
      <c r="A135" s="9">
        <v>132</v>
      </c>
      <c r="B135" s="9">
        <v>21012038</v>
      </c>
      <c r="C135" s="23" t="s">
        <v>98</v>
      </c>
      <c r="D135" s="9">
        <v>50</v>
      </c>
      <c r="E135" s="9">
        <v>0</v>
      </c>
      <c r="F135" s="9">
        <v>0</v>
      </c>
      <c r="G135" s="9">
        <v>50</v>
      </c>
      <c r="H135" s="9">
        <f t="shared" si="5"/>
        <v>5</v>
      </c>
      <c r="I135" s="15">
        <v>58</v>
      </c>
      <c r="J135" s="16"/>
      <c r="K135" s="16"/>
      <c r="L135" s="16"/>
      <c r="M135" s="16"/>
      <c r="N135" s="16"/>
      <c r="O135" s="17" t="str">
        <f>_xlfn.DISPIMG("ID_3AC61EBA796C421E9122E743B2D2CA5A",1)</f>
        <v>=DISPIMG("ID_3AC61EBA796C421E9122E743B2D2CA5A",1)</v>
      </c>
      <c r="P135" s="22"/>
    </row>
    <row r="136" ht="30" customHeight="1" spans="1:16">
      <c r="A136" s="9">
        <v>133</v>
      </c>
      <c r="B136" s="9">
        <v>21012039</v>
      </c>
      <c r="C136" s="23" t="s">
        <v>133</v>
      </c>
      <c r="D136" s="9">
        <v>50</v>
      </c>
      <c r="E136" s="9">
        <v>0</v>
      </c>
      <c r="F136" s="9">
        <v>0</v>
      </c>
      <c r="G136" s="9">
        <v>50</v>
      </c>
      <c r="H136" s="9">
        <f t="shared" si="5"/>
        <v>5</v>
      </c>
      <c r="I136" s="15">
        <v>58</v>
      </c>
      <c r="J136" s="16"/>
      <c r="K136" s="16"/>
      <c r="L136" s="16"/>
      <c r="M136" s="16"/>
      <c r="N136" s="16"/>
      <c r="O136" s="17" t="str">
        <f>_xlfn.DISPIMG("ID_8E9C88800D8C47CC9A232867E5FF1A9F",1)</f>
        <v>=DISPIMG("ID_8E9C88800D8C47CC9A232867E5FF1A9F",1)</v>
      </c>
      <c r="P136" s="22"/>
    </row>
    <row r="137" ht="30" customHeight="1" spans="1:16">
      <c r="A137" s="9">
        <v>134</v>
      </c>
      <c r="B137" s="9">
        <v>21012048</v>
      </c>
      <c r="C137" s="23" t="s">
        <v>225</v>
      </c>
      <c r="D137" s="9">
        <v>50</v>
      </c>
      <c r="E137" s="9">
        <v>7</v>
      </c>
      <c r="F137" s="9">
        <v>0</v>
      </c>
      <c r="G137" s="9">
        <v>57</v>
      </c>
      <c r="H137" s="9">
        <f t="shared" si="5"/>
        <v>5.7</v>
      </c>
      <c r="I137" s="15">
        <v>35</v>
      </c>
      <c r="J137" s="18" t="s">
        <v>543</v>
      </c>
      <c r="K137" s="18"/>
      <c r="L137" s="18"/>
      <c r="M137" s="18"/>
      <c r="N137" s="18"/>
      <c r="O137" s="17" t="str">
        <f>_xlfn.DISPIMG("ID_699949D1967A4F77AEBF54D184EF87B0",1)</f>
        <v>=DISPIMG("ID_699949D1967A4F77AEBF54D184EF87B0",1)</v>
      </c>
      <c r="P137" s="22"/>
    </row>
    <row r="138" ht="30" customHeight="1" spans="1:16">
      <c r="A138" s="9">
        <v>135</v>
      </c>
      <c r="B138" s="9">
        <v>21012049</v>
      </c>
      <c r="C138" s="23" t="s">
        <v>203</v>
      </c>
      <c r="D138" s="9">
        <v>50</v>
      </c>
      <c r="E138" s="9">
        <v>6</v>
      </c>
      <c r="F138" s="9">
        <v>0</v>
      </c>
      <c r="G138" s="9">
        <v>56</v>
      </c>
      <c r="H138" s="9">
        <f t="shared" si="5"/>
        <v>5.6</v>
      </c>
      <c r="I138" s="15">
        <v>38</v>
      </c>
      <c r="J138" s="16" t="s">
        <v>544</v>
      </c>
      <c r="K138" s="16"/>
      <c r="L138" s="16"/>
      <c r="M138" s="16"/>
      <c r="N138" s="16"/>
      <c r="O138" s="17" t="str">
        <f>_xlfn.DISPIMG("ID_68BACA8D9B8E4B9D9C4ACC780415ABB8",1)</f>
        <v>=DISPIMG("ID_68BACA8D9B8E4B9D9C4ACC780415ABB8",1)</v>
      </c>
      <c r="P138" s="22"/>
    </row>
    <row r="139" ht="30" customHeight="1" spans="1:16">
      <c r="A139" s="9">
        <v>136</v>
      </c>
      <c r="B139" s="9">
        <v>21012059</v>
      </c>
      <c r="C139" s="23" t="s">
        <v>161</v>
      </c>
      <c r="D139" s="9">
        <v>50</v>
      </c>
      <c r="E139" s="9">
        <v>7</v>
      </c>
      <c r="F139" s="9">
        <v>0</v>
      </c>
      <c r="G139" s="9">
        <v>57</v>
      </c>
      <c r="H139" s="9">
        <f t="shared" si="5"/>
        <v>5.7</v>
      </c>
      <c r="I139" s="15">
        <v>35</v>
      </c>
      <c r="J139" s="18" t="s">
        <v>545</v>
      </c>
      <c r="K139" s="18"/>
      <c r="L139" s="18"/>
      <c r="M139" s="18"/>
      <c r="N139" s="18"/>
      <c r="O139" s="17" t="str">
        <f>_xlfn.DISPIMG("ID_9E1CFBB528B546C9846D8AD12FBDCB51",1)</f>
        <v>=DISPIMG("ID_9E1CFBB528B546C9846D8AD12FBDCB51",1)</v>
      </c>
      <c r="P139" s="22"/>
    </row>
    <row r="140" ht="30" customHeight="1" spans="1:16">
      <c r="A140" s="9">
        <v>137</v>
      </c>
      <c r="B140" s="9">
        <v>21012060</v>
      </c>
      <c r="C140" s="23" t="s">
        <v>145</v>
      </c>
      <c r="D140" s="9">
        <v>50</v>
      </c>
      <c r="E140" s="9">
        <v>0</v>
      </c>
      <c r="F140" s="9">
        <v>0</v>
      </c>
      <c r="G140" s="9">
        <v>50</v>
      </c>
      <c r="H140" s="9">
        <f t="shared" si="5"/>
        <v>5</v>
      </c>
      <c r="I140" s="15">
        <v>58</v>
      </c>
      <c r="J140" s="16"/>
      <c r="K140" s="16"/>
      <c r="L140" s="16"/>
      <c r="M140" s="16"/>
      <c r="N140" s="16"/>
      <c r="O140" s="17" t="str">
        <f>_xlfn.DISPIMG("ID_DCA1B280B89C43D3938A8CF1746FD163",1)</f>
        <v>=DISPIMG("ID_DCA1B280B89C43D3938A8CF1746FD163",1)</v>
      </c>
      <c r="P140" s="22"/>
    </row>
    <row r="141" ht="30" customHeight="1" spans="1:16">
      <c r="A141" s="9">
        <v>138</v>
      </c>
      <c r="B141" s="9">
        <v>21012071</v>
      </c>
      <c r="C141" s="23" t="s">
        <v>18</v>
      </c>
      <c r="D141" s="9">
        <v>50</v>
      </c>
      <c r="E141" s="9">
        <v>50</v>
      </c>
      <c r="F141" s="9">
        <v>0</v>
      </c>
      <c r="G141" s="9">
        <v>100</v>
      </c>
      <c r="H141" s="9">
        <f t="shared" si="5"/>
        <v>10</v>
      </c>
      <c r="I141" s="15">
        <v>1</v>
      </c>
      <c r="J141" s="18" t="s">
        <v>546</v>
      </c>
      <c r="K141" s="18"/>
      <c r="L141" s="18"/>
      <c r="M141" s="18"/>
      <c r="N141" s="18"/>
      <c r="O141" s="17" t="str">
        <f>_xlfn.DISPIMG("ID_683757A20CF244E487B6566AD972BF0D",1)</f>
        <v>=DISPIMG("ID_683757A20CF244E487B6566AD972BF0D",1)</v>
      </c>
      <c r="P141" s="22"/>
    </row>
    <row r="142" ht="30" customHeight="1" spans="1:16">
      <c r="A142" s="9">
        <v>139</v>
      </c>
      <c r="B142" s="9">
        <v>21012073</v>
      </c>
      <c r="C142" s="23" t="s">
        <v>169</v>
      </c>
      <c r="D142" s="9">
        <v>50</v>
      </c>
      <c r="E142" s="9">
        <v>9</v>
      </c>
      <c r="F142" s="9">
        <v>0</v>
      </c>
      <c r="G142" s="9">
        <v>59</v>
      </c>
      <c r="H142" s="9">
        <f t="shared" si="5"/>
        <v>5.9</v>
      </c>
      <c r="I142" s="15">
        <v>27</v>
      </c>
      <c r="J142" s="16" t="s">
        <v>547</v>
      </c>
      <c r="K142" s="16"/>
      <c r="L142" s="16"/>
      <c r="M142" s="16"/>
      <c r="N142" s="16"/>
      <c r="O142" s="17" t="str">
        <f>_xlfn.DISPIMG("ID_299219D91A8A4FC994500B5D2F1DF674",1)</f>
        <v>=DISPIMG("ID_299219D91A8A4FC994500B5D2F1DF674",1)</v>
      </c>
      <c r="P142" s="22"/>
    </row>
    <row r="143" ht="30" customHeight="1" spans="1:16">
      <c r="A143" s="9">
        <v>140</v>
      </c>
      <c r="B143" s="9">
        <v>21012083</v>
      </c>
      <c r="C143" s="23" t="s">
        <v>186</v>
      </c>
      <c r="D143" s="9">
        <v>50</v>
      </c>
      <c r="E143" s="9">
        <v>0</v>
      </c>
      <c r="F143" s="9">
        <v>0</v>
      </c>
      <c r="G143" s="9">
        <v>50</v>
      </c>
      <c r="H143" s="9">
        <f t="shared" si="5"/>
        <v>5</v>
      </c>
      <c r="I143" s="15">
        <v>58</v>
      </c>
      <c r="J143" s="16"/>
      <c r="K143" s="16"/>
      <c r="L143" s="16"/>
      <c r="M143" s="16"/>
      <c r="N143" s="16"/>
      <c r="O143" s="17" t="str">
        <f>_xlfn.DISPIMG("ID_C0056C45CAB2420FBB5F0958A4E0922A",1)</f>
        <v>=DISPIMG("ID_C0056C45CAB2420FBB5F0958A4E0922A",1)</v>
      </c>
      <c r="P143" s="22"/>
    </row>
    <row r="144" ht="30" customHeight="1" spans="1:16">
      <c r="A144" s="9">
        <v>141</v>
      </c>
      <c r="B144" s="9">
        <v>21012084</v>
      </c>
      <c r="C144" s="23" t="s">
        <v>54</v>
      </c>
      <c r="D144" s="9">
        <v>50</v>
      </c>
      <c r="E144" s="9">
        <v>17</v>
      </c>
      <c r="F144" s="9">
        <v>0</v>
      </c>
      <c r="G144" s="9">
        <v>67</v>
      </c>
      <c r="H144" s="9">
        <f t="shared" si="5"/>
        <v>6.7</v>
      </c>
      <c r="I144" s="15">
        <v>16</v>
      </c>
      <c r="J144" s="18" t="s">
        <v>548</v>
      </c>
      <c r="K144" s="18"/>
      <c r="L144" s="18"/>
      <c r="M144" s="18"/>
      <c r="N144" s="18"/>
      <c r="O144" s="17" t="str">
        <f>_xlfn.DISPIMG("ID_C7D2FDFC9359478BAD756DFB4878C8B6",1)</f>
        <v>=DISPIMG("ID_C7D2FDFC9359478BAD756DFB4878C8B6",1)</v>
      </c>
      <c r="P144" s="22"/>
    </row>
    <row r="145" ht="30" customHeight="1" spans="1:16">
      <c r="A145" s="9">
        <v>142</v>
      </c>
      <c r="B145" s="9">
        <v>21012095</v>
      </c>
      <c r="C145" s="23" t="s">
        <v>217</v>
      </c>
      <c r="D145" s="9">
        <v>50</v>
      </c>
      <c r="E145" s="9">
        <v>4</v>
      </c>
      <c r="F145" s="9">
        <v>0</v>
      </c>
      <c r="G145" s="9">
        <v>54</v>
      </c>
      <c r="H145" s="9">
        <f t="shared" si="5"/>
        <v>5.4</v>
      </c>
      <c r="I145" s="15">
        <v>45</v>
      </c>
      <c r="J145" s="16" t="s">
        <v>549</v>
      </c>
      <c r="K145" s="16"/>
      <c r="L145" s="16"/>
      <c r="M145" s="16"/>
      <c r="N145" s="16"/>
      <c r="O145" s="17" t="str">
        <f>_xlfn.DISPIMG("ID_F6F7A05DA5634584A6585A4B08C87D4B",1)</f>
        <v>=DISPIMG("ID_F6F7A05DA5634584A6585A4B08C87D4B",1)</v>
      </c>
      <c r="P145" s="22"/>
    </row>
    <row r="146" ht="30" customHeight="1" spans="1:16">
      <c r="A146" s="9">
        <v>143</v>
      </c>
      <c r="B146" s="9">
        <v>21012097</v>
      </c>
      <c r="C146" s="23" t="s">
        <v>131</v>
      </c>
      <c r="D146" s="9">
        <v>50</v>
      </c>
      <c r="E146" s="9">
        <v>0.5</v>
      </c>
      <c r="F146" s="9">
        <v>0</v>
      </c>
      <c r="G146" s="9">
        <v>50.5</v>
      </c>
      <c r="H146" s="9">
        <f t="shared" si="5"/>
        <v>5.05</v>
      </c>
      <c r="I146" s="15">
        <v>56</v>
      </c>
      <c r="J146" s="16" t="s">
        <v>550</v>
      </c>
      <c r="K146" s="16"/>
      <c r="L146" s="16"/>
      <c r="M146" s="16"/>
      <c r="N146" s="16"/>
      <c r="O146" s="17" t="str">
        <f>_xlfn.DISPIMG("ID_2836EB2365FB48C5A55B903EE90E34BB",1)</f>
        <v>=DISPIMG("ID_2836EB2365FB48C5A55B903EE90E34BB",1)</v>
      </c>
      <c r="P146" s="22"/>
    </row>
    <row r="147" ht="30" customHeight="1" spans="1:16">
      <c r="A147" s="9">
        <v>144</v>
      </c>
      <c r="B147" s="9">
        <v>21012106</v>
      </c>
      <c r="C147" s="23" t="s">
        <v>58</v>
      </c>
      <c r="D147" s="9">
        <v>50</v>
      </c>
      <c r="E147" s="9">
        <v>4</v>
      </c>
      <c r="F147" s="9">
        <v>0</v>
      </c>
      <c r="G147" s="9">
        <v>54</v>
      </c>
      <c r="H147" s="9">
        <f t="shared" si="5"/>
        <v>5.4</v>
      </c>
      <c r="I147" s="15">
        <v>45</v>
      </c>
      <c r="J147" s="16" t="s">
        <v>551</v>
      </c>
      <c r="K147" s="16"/>
      <c r="L147" s="16"/>
      <c r="M147" s="16"/>
      <c r="N147" s="16"/>
      <c r="O147" s="17" t="str">
        <f>_xlfn.DISPIMG("ID_62F92E6F209F4331B36FC44E51530656",1)</f>
        <v>=DISPIMG("ID_62F92E6F209F4331B36FC44E51530656",1)</v>
      </c>
      <c r="P147" s="22"/>
    </row>
    <row r="148" ht="30" customHeight="1" spans="1:16">
      <c r="A148" s="9">
        <v>145</v>
      </c>
      <c r="B148" s="9">
        <v>21012107</v>
      </c>
      <c r="C148" s="23" t="s">
        <v>64</v>
      </c>
      <c r="D148" s="9">
        <v>50</v>
      </c>
      <c r="E148" s="9">
        <v>0</v>
      </c>
      <c r="F148" s="9">
        <v>0</v>
      </c>
      <c r="G148" s="9">
        <v>50</v>
      </c>
      <c r="H148" s="9">
        <f t="shared" si="5"/>
        <v>5</v>
      </c>
      <c r="I148" s="15">
        <v>58</v>
      </c>
      <c r="J148" s="16"/>
      <c r="K148" s="16"/>
      <c r="L148" s="16"/>
      <c r="M148" s="16"/>
      <c r="N148" s="16"/>
      <c r="O148" s="17" t="str">
        <f>_xlfn.DISPIMG("ID_DDDA7A847897425EB777932C717C0393",1)</f>
        <v>=DISPIMG("ID_DDDA7A847897425EB777932C717C0393",1)</v>
      </c>
      <c r="P148" s="22"/>
    </row>
    <row r="149" ht="30" customHeight="1" spans="1:16">
      <c r="A149" s="9">
        <v>146</v>
      </c>
      <c r="B149" s="9">
        <v>21012120</v>
      </c>
      <c r="C149" s="23" t="s">
        <v>25</v>
      </c>
      <c r="D149" s="9">
        <v>50</v>
      </c>
      <c r="E149" s="9">
        <v>20</v>
      </c>
      <c r="F149" s="9">
        <v>0</v>
      </c>
      <c r="G149" s="9">
        <v>70</v>
      </c>
      <c r="H149" s="9">
        <f t="shared" si="5"/>
        <v>7</v>
      </c>
      <c r="I149" s="15">
        <v>12</v>
      </c>
      <c r="J149" s="18" t="s">
        <v>552</v>
      </c>
      <c r="K149" s="18"/>
      <c r="L149" s="18"/>
      <c r="M149" s="18"/>
      <c r="N149" s="18"/>
      <c r="O149" s="17" t="str">
        <f>_xlfn.DISPIMG("ID_ACE6D4756C1A42E8A62ACDB6029E7727",1)</f>
        <v>=DISPIMG("ID_ACE6D4756C1A42E8A62ACDB6029E7727",1)</v>
      </c>
      <c r="P149" s="22"/>
    </row>
    <row r="150" ht="30" customHeight="1" spans="1:16">
      <c r="A150" s="9">
        <v>147</v>
      </c>
      <c r="B150" s="9">
        <v>21012121</v>
      </c>
      <c r="C150" s="23" t="s">
        <v>82</v>
      </c>
      <c r="D150" s="9">
        <v>50</v>
      </c>
      <c r="E150" s="9">
        <v>19</v>
      </c>
      <c r="F150" s="9">
        <v>0</v>
      </c>
      <c r="G150" s="9">
        <v>69</v>
      </c>
      <c r="H150" s="9">
        <f t="shared" si="5"/>
        <v>6.9</v>
      </c>
      <c r="I150" s="15">
        <v>13</v>
      </c>
      <c r="J150" s="18" t="s">
        <v>553</v>
      </c>
      <c r="K150" s="18"/>
      <c r="L150" s="18"/>
      <c r="M150" s="18"/>
      <c r="N150" s="18"/>
      <c r="O150" s="17" t="str">
        <f>_xlfn.DISPIMG("ID_6E8A48B82FAD45FA8BF1B3E5430576D1",1)</f>
        <v>=DISPIMG("ID_6E8A48B82FAD45FA8BF1B3E5430576D1",1)</v>
      </c>
      <c r="P150" s="22"/>
    </row>
    <row r="151" ht="30" customHeight="1" spans="1:16">
      <c r="A151" s="9">
        <v>148</v>
      </c>
      <c r="B151" s="9">
        <v>21012130</v>
      </c>
      <c r="C151" s="23" t="s">
        <v>36</v>
      </c>
      <c r="D151" s="9">
        <v>50</v>
      </c>
      <c r="E151" s="9">
        <v>19</v>
      </c>
      <c r="F151" s="9">
        <v>0</v>
      </c>
      <c r="G151" s="9">
        <v>69</v>
      </c>
      <c r="H151" s="9">
        <f t="shared" si="5"/>
        <v>6.9</v>
      </c>
      <c r="I151" s="15">
        <v>13</v>
      </c>
      <c r="J151" s="16" t="s">
        <v>554</v>
      </c>
      <c r="K151" s="16"/>
      <c r="L151" s="16"/>
      <c r="M151" s="16"/>
      <c r="N151" s="16"/>
      <c r="O151" s="17" t="str">
        <f>_xlfn.DISPIMG("ID_90B9B28B007741BA8CAC3FB908965332",1)</f>
        <v>=DISPIMG("ID_90B9B28B007741BA8CAC3FB908965332",1)</v>
      </c>
      <c r="P151" s="22"/>
    </row>
    <row r="152" ht="30" customHeight="1" spans="1:16">
      <c r="A152" s="9">
        <v>149</v>
      </c>
      <c r="B152" s="9">
        <v>21012068</v>
      </c>
      <c r="C152" s="23" t="s">
        <v>176</v>
      </c>
      <c r="D152" s="9">
        <v>50</v>
      </c>
      <c r="E152" s="9">
        <v>0</v>
      </c>
      <c r="F152" s="9">
        <v>0</v>
      </c>
      <c r="G152" s="9">
        <v>50</v>
      </c>
      <c r="H152" s="9">
        <f t="shared" si="5"/>
        <v>5</v>
      </c>
      <c r="I152" s="15">
        <v>58</v>
      </c>
      <c r="J152" s="16"/>
      <c r="K152" s="16"/>
      <c r="L152" s="16"/>
      <c r="M152" s="16"/>
      <c r="N152" s="16"/>
      <c r="O152" s="17" t="str">
        <f>_xlfn.DISPIMG("ID_F74ADF78E659410FB00BEF122F9527E5",1)</f>
        <v>=DISPIMG("ID_F74ADF78E659410FB00BEF122F9527E5",1)</v>
      </c>
      <c r="P152" s="22"/>
    </row>
    <row r="153" ht="30" customHeight="1" spans="1:16">
      <c r="A153" s="9">
        <v>150</v>
      </c>
      <c r="B153" s="9">
        <v>21012070</v>
      </c>
      <c r="C153" s="23" t="s">
        <v>194</v>
      </c>
      <c r="D153" s="9">
        <v>50</v>
      </c>
      <c r="E153" s="9">
        <v>0</v>
      </c>
      <c r="F153" s="9">
        <v>0</v>
      </c>
      <c r="G153" s="9">
        <v>50</v>
      </c>
      <c r="H153" s="9">
        <f t="shared" si="5"/>
        <v>5</v>
      </c>
      <c r="I153" s="15">
        <v>58</v>
      </c>
      <c r="J153" s="16"/>
      <c r="K153" s="16"/>
      <c r="L153" s="16"/>
      <c r="M153" s="16"/>
      <c r="N153" s="16"/>
      <c r="O153" s="17" t="str">
        <f>_xlfn.DISPIMG("ID_B74A07A0103141FC864C8B7038870043",1)</f>
        <v>=DISPIMG("ID_B74A07A0103141FC864C8B7038870043",1)</v>
      </c>
      <c r="P153" s="22"/>
    </row>
    <row r="154" ht="30" customHeight="1" spans="1:16">
      <c r="A154" s="9">
        <v>151</v>
      </c>
      <c r="B154" s="9">
        <v>21012117</v>
      </c>
      <c r="C154" s="23" t="s">
        <v>40</v>
      </c>
      <c r="D154" s="9">
        <v>50</v>
      </c>
      <c r="E154" s="9">
        <v>1</v>
      </c>
      <c r="F154" s="9">
        <v>0</v>
      </c>
      <c r="G154" s="9">
        <v>51</v>
      </c>
      <c r="H154" s="9">
        <f t="shared" si="5"/>
        <v>5.1</v>
      </c>
      <c r="I154" s="15">
        <v>52</v>
      </c>
      <c r="J154" s="16" t="s">
        <v>555</v>
      </c>
      <c r="K154" s="16"/>
      <c r="L154" s="16"/>
      <c r="M154" s="16"/>
      <c r="N154" s="16"/>
      <c r="O154" s="17" t="str">
        <f>_xlfn.DISPIMG("ID_71C70DCD14394BBDA07BD7D9A5E6D41A",1)</f>
        <v>=DISPIMG("ID_71C70DCD14394BBDA07BD7D9A5E6D41A",1)</v>
      </c>
      <c r="P154" s="22"/>
    </row>
    <row r="155" ht="30" customHeight="1" spans="1:16">
      <c r="A155" s="9">
        <v>152</v>
      </c>
      <c r="B155" s="9">
        <v>21012133</v>
      </c>
      <c r="C155" s="23" t="s">
        <v>190</v>
      </c>
      <c r="D155" s="9">
        <v>50</v>
      </c>
      <c r="E155" s="9">
        <v>0</v>
      </c>
      <c r="F155" s="9">
        <v>0</v>
      </c>
      <c r="G155" s="9">
        <v>50</v>
      </c>
      <c r="H155" s="9">
        <f t="shared" si="5"/>
        <v>5</v>
      </c>
      <c r="I155" s="15">
        <v>58</v>
      </c>
      <c r="J155" s="16"/>
      <c r="K155" s="16"/>
      <c r="L155" s="16"/>
      <c r="M155" s="16"/>
      <c r="N155" s="16"/>
      <c r="O155" s="17" t="str">
        <f>_xlfn.DISPIMG("ID_279C57439A584415B077F4C890DF6E28",1)</f>
        <v>=DISPIMG("ID_279C57439A584415B077F4C890DF6E28",1)</v>
      </c>
      <c r="P155" s="22"/>
    </row>
    <row r="156" ht="30" customHeight="1" spans="1:16">
      <c r="A156" s="9">
        <v>153</v>
      </c>
      <c r="B156" s="9">
        <v>21012137</v>
      </c>
      <c r="C156" s="23" t="s">
        <v>129</v>
      </c>
      <c r="D156" s="9">
        <v>50</v>
      </c>
      <c r="E156" s="9">
        <v>0</v>
      </c>
      <c r="F156" s="9">
        <v>0</v>
      </c>
      <c r="G156" s="9">
        <v>50</v>
      </c>
      <c r="H156" s="9">
        <f t="shared" si="5"/>
        <v>5</v>
      </c>
      <c r="I156" s="15">
        <v>58</v>
      </c>
      <c r="J156" s="16"/>
      <c r="K156" s="16"/>
      <c r="L156" s="16"/>
      <c r="M156" s="16"/>
      <c r="N156" s="16"/>
      <c r="O156" s="17" t="str">
        <f>_xlfn.DISPIMG("ID_B64F6F61EED545479642DCA2AB2270DF",1)</f>
        <v>=DISPIMG("ID_B64F6F61EED545479642DCA2AB2270DF",1)</v>
      </c>
      <c r="P156" s="22"/>
    </row>
    <row r="157" ht="30" customHeight="1" spans="1:16">
      <c r="A157" s="9">
        <v>154</v>
      </c>
      <c r="B157" s="9">
        <v>21012138</v>
      </c>
      <c r="C157" s="23" t="s">
        <v>115</v>
      </c>
      <c r="D157" s="9">
        <v>50</v>
      </c>
      <c r="E157" s="9">
        <v>1</v>
      </c>
      <c r="F157" s="9">
        <v>0</v>
      </c>
      <c r="G157" s="9">
        <v>51</v>
      </c>
      <c r="H157" s="9">
        <f t="shared" si="5"/>
        <v>5.1</v>
      </c>
      <c r="I157" s="15">
        <v>52</v>
      </c>
      <c r="J157" s="16" t="s">
        <v>556</v>
      </c>
      <c r="K157" s="16"/>
      <c r="L157" s="16"/>
      <c r="M157" s="16"/>
      <c r="N157" s="16"/>
      <c r="O157" s="26" t="str">
        <f>_xlfn.DISPIMG("ID_5D0ABCCF93FA4A77AA256CC29A1E2689",1)</f>
        <v>=DISPIMG("ID_5D0ABCCF93FA4A77AA256CC29A1E2689",1)</v>
      </c>
      <c r="P157" s="22"/>
    </row>
    <row r="158" ht="30" customHeight="1" spans="1:16">
      <c r="A158" s="9">
        <v>155</v>
      </c>
      <c r="B158" s="9">
        <v>21012148</v>
      </c>
      <c r="C158" s="23" t="s">
        <v>28</v>
      </c>
      <c r="D158" s="9">
        <v>50</v>
      </c>
      <c r="E158" s="9">
        <v>38.5</v>
      </c>
      <c r="F158" s="9">
        <v>0</v>
      </c>
      <c r="G158" s="9">
        <v>88.5</v>
      </c>
      <c r="H158" s="9">
        <f t="shared" si="5"/>
        <v>8.85</v>
      </c>
      <c r="I158" s="15">
        <v>4</v>
      </c>
      <c r="J158" s="18" t="s">
        <v>557</v>
      </c>
      <c r="K158" s="18"/>
      <c r="L158" s="18"/>
      <c r="M158" s="18"/>
      <c r="N158" s="18"/>
      <c r="O158" s="17" t="str">
        <f>_xlfn.DISPIMG("ID_5E591CF41BE34AE2B7D16AFB33A56CD6",1)</f>
        <v>=DISPIMG("ID_5E591CF41BE34AE2B7D16AFB33A56CD6",1)</v>
      </c>
      <c r="P158" s="22"/>
    </row>
    <row r="159" ht="30" customHeight="1" spans="1:16">
      <c r="A159" s="9">
        <v>156</v>
      </c>
      <c r="B159" s="9">
        <v>21012149</v>
      </c>
      <c r="C159" s="23" t="s">
        <v>277</v>
      </c>
      <c r="D159" s="9">
        <v>50</v>
      </c>
      <c r="E159" s="9">
        <v>0</v>
      </c>
      <c r="F159" s="9">
        <v>0</v>
      </c>
      <c r="G159" s="9">
        <v>50</v>
      </c>
      <c r="H159" s="9">
        <f t="shared" si="5"/>
        <v>5</v>
      </c>
      <c r="I159" s="15">
        <v>58</v>
      </c>
      <c r="J159" s="16"/>
      <c r="K159" s="16"/>
      <c r="L159" s="16"/>
      <c r="M159" s="16"/>
      <c r="N159" s="16"/>
      <c r="O159" s="17" t="str">
        <f>_xlfn.DISPIMG("ID_84EE5AD21811448BA820D0739FC980F6",1)</f>
        <v>=DISPIMG("ID_84EE5AD21811448BA820D0739FC980F6",1)</v>
      </c>
      <c r="P159" s="22"/>
    </row>
    <row r="160" ht="30" customHeight="1" spans="1:16">
      <c r="A160" s="9">
        <v>157</v>
      </c>
      <c r="B160" s="9">
        <v>21012155</v>
      </c>
      <c r="C160" s="29" t="s">
        <v>273</v>
      </c>
      <c r="D160" s="30">
        <v>50</v>
      </c>
      <c r="E160" s="30">
        <v>0</v>
      </c>
      <c r="F160" s="30">
        <v>0</v>
      </c>
      <c r="G160" s="30">
        <v>50</v>
      </c>
      <c r="H160" s="9">
        <f t="shared" si="5"/>
        <v>5</v>
      </c>
      <c r="I160" s="15">
        <v>58</v>
      </c>
      <c r="J160" s="31"/>
      <c r="K160" s="31"/>
      <c r="L160" s="31"/>
      <c r="M160" s="31"/>
      <c r="N160" s="31"/>
      <c r="O160" s="17" t="str">
        <f>_xlfn.DISPIMG("ID_C438CF61CC024A2FA7E346CDF6E6B1F7",1)</f>
        <v>=DISPIMG("ID_C438CF61CC024A2FA7E346CDF6E6B1F7",1)</v>
      </c>
      <c r="P160" s="32"/>
    </row>
  </sheetData>
  <mergeCells count="160">
    <mergeCell ref="A1:P1"/>
    <mergeCell ref="A2:D2"/>
    <mergeCell ref="J3:N3"/>
    <mergeCell ref="J4:N4"/>
    <mergeCell ref="J5:N5"/>
    <mergeCell ref="J6:N6"/>
    <mergeCell ref="J7:N7"/>
    <mergeCell ref="J8:N8"/>
    <mergeCell ref="J9:N9"/>
    <mergeCell ref="J10:N10"/>
    <mergeCell ref="J11:N11"/>
    <mergeCell ref="J12:N12"/>
    <mergeCell ref="J13:N13"/>
    <mergeCell ref="J14:N14"/>
    <mergeCell ref="J15:N15"/>
    <mergeCell ref="J16:N16"/>
    <mergeCell ref="J17:N17"/>
    <mergeCell ref="J18:N18"/>
    <mergeCell ref="J19:N19"/>
    <mergeCell ref="J20:N20"/>
    <mergeCell ref="J21:N21"/>
    <mergeCell ref="J22:N22"/>
    <mergeCell ref="J23:N23"/>
    <mergeCell ref="J24:N24"/>
    <mergeCell ref="J25:N25"/>
    <mergeCell ref="J26:N26"/>
    <mergeCell ref="J27:N27"/>
    <mergeCell ref="J28:N28"/>
    <mergeCell ref="J29:N29"/>
    <mergeCell ref="J30:N30"/>
    <mergeCell ref="J31:N31"/>
    <mergeCell ref="J32:N32"/>
    <mergeCell ref="J33:N33"/>
    <mergeCell ref="J34:N34"/>
    <mergeCell ref="J35:N35"/>
    <mergeCell ref="J36:N36"/>
    <mergeCell ref="J37:N37"/>
    <mergeCell ref="J38:N38"/>
    <mergeCell ref="J39:N39"/>
    <mergeCell ref="J40:N40"/>
    <mergeCell ref="J41:N41"/>
    <mergeCell ref="J42:N42"/>
    <mergeCell ref="J43:N43"/>
    <mergeCell ref="J44:N44"/>
    <mergeCell ref="J45:N45"/>
    <mergeCell ref="J46:N46"/>
    <mergeCell ref="J47:N47"/>
    <mergeCell ref="J48:N48"/>
    <mergeCell ref="J49:N49"/>
    <mergeCell ref="J50:N50"/>
    <mergeCell ref="J51:N51"/>
    <mergeCell ref="J52:N52"/>
    <mergeCell ref="J53:N53"/>
    <mergeCell ref="J54:N54"/>
    <mergeCell ref="J55:N55"/>
    <mergeCell ref="J56:N56"/>
    <mergeCell ref="J57:N57"/>
    <mergeCell ref="J58:N58"/>
    <mergeCell ref="J59:N59"/>
    <mergeCell ref="J60:N60"/>
    <mergeCell ref="J61:N61"/>
    <mergeCell ref="J62:N62"/>
    <mergeCell ref="J63:N63"/>
    <mergeCell ref="J64:N64"/>
    <mergeCell ref="J65:N65"/>
    <mergeCell ref="J66:N66"/>
    <mergeCell ref="J67:N67"/>
    <mergeCell ref="J68:N68"/>
    <mergeCell ref="J69:N69"/>
    <mergeCell ref="J70:N70"/>
    <mergeCell ref="J71:N71"/>
    <mergeCell ref="J72:N72"/>
    <mergeCell ref="J73:N73"/>
    <mergeCell ref="J74:N74"/>
    <mergeCell ref="J75:N75"/>
    <mergeCell ref="J76:N76"/>
    <mergeCell ref="J77:N77"/>
    <mergeCell ref="J78:N78"/>
    <mergeCell ref="J79:N79"/>
    <mergeCell ref="J80:N80"/>
    <mergeCell ref="J81:N81"/>
    <mergeCell ref="J82:N82"/>
    <mergeCell ref="J83:N83"/>
    <mergeCell ref="J84:N84"/>
    <mergeCell ref="J85:N85"/>
    <mergeCell ref="J86:N86"/>
    <mergeCell ref="J87:N87"/>
    <mergeCell ref="J88:N88"/>
    <mergeCell ref="J89:N89"/>
    <mergeCell ref="J90:N90"/>
    <mergeCell ref="J91:N91"/>
    <mergeCell ref="J92:N92"/>
    <mergeCell ref="J93:N93"/>
    <mergeCell ref="J94:N94"/>
    <mergeCell ref="J95:N95"/>
    <mergeCell ref="J96:N96"/>
    <mergeCell ref="J97:N97"/>
    <mergeCell ref="J98:N98"/>
    <mergeCell ref="J99:N99"/>
    <mergeCell ref="J100:N100"/>
    <mergeCell ref="J101:N101"/>
    <mergeCell ref="J102:N102"/>
    <mergeCell ref="J103:N103"/>
    <mergeCell ref="J104:N104"/>
    <mergeCell ref="J105:N105"/>
    <mergeCell ref="J106:N106"/>
    <mergeCell ref="J107:N107"/>
    <mergeCell ref="J108:N108"/>
    <mergeCell ref="J109:N109"/>
    <mergeCell ref="J110:N110"/>
    <mergeCell ref="J111:N111"/>
    <mergeCell ref="J112:N112"/>
    <mergeCell ref="J113:N113"/>
    <mergeCell ref="J114:N114"/>
    <mergeCell ref="J115:N115"/>
    <mergeCell ref="J116:N116"/>
    <mergeCell ref="J117:N117"/>
    <mergeCell ref="J118:N118"/>
    <mergeCell ref="J119:N119"/>
    <mergeCell ref="J120:N120"/>
    <mergeCell ref="J121:N121"/>
    <mergeCell ref="J122:N122"/>
    <mergeCell ref="J123:N123"/>
    <mergeCell ref="J124:N124"/>
    <mergeCell ref="J125:N125"/>
    <mergeCell ref="J126:N126"/>
    <mergeCell ref="J127:N127"/>
    <mergeCell ref="J128:N128"/>
    <mergeCell ref="J129:N129"/>
    <mergeCell ref="J130:N130"/>
    <mergeCell ref="J131:N131"/>
    <mergeCell ref="J132:N132"/>
    <mergeCell ref="J133:N133"/>
    <mergeCell ref="J134:N134"/>
    <mergeCell ref="J135:N135"/>
    <mergeCell ref="J136:N136"/>
    <mergeCell ref="J137:N137"/>
    <mergeCell ref="J138:N138"/>
    <mergeCell ref="J139:N139"/>
    <mergeCell ref="J140:N140"/>
    <mergeCell ref="J141:N141"/>
    <mergeCell ref="J142:N142"/>
    <mergeCell ref="J143:N143"/>
    <mergeCell ref="J144:N144"/>
    <mergeCell ref="J145:N145"/>
    <mergeCell ref="J146:N146"/>
    <mergeCell ref="J147:N147"/>
    <mergeCell ref="J148:N148"/>
    <mergeCell ref="J149:N149"/>
    <mergeCell ref="J150:N150"/>
    <mergeCell ref="J151:N151"/>
    <mergeCell ref="J152:N152"/>
    <mergeCell ref="J153:N153"/>
    <mergeCell ref="J154:N154"/>
    <mergeCell ref="J155:N155"/>
    <mergeCell ref="J156:N156"/>
    <mergeCell ref="J157:N157"/>
    <mergeCell ref="J158:N158"/>
    <mergeCell ref="J159:N159"/>
    <mergeCell ref="J160:N160"/>
  </mergeCells>
  <pageMargins left="0.7" right="0.7" top="0.75" bottom="0.75" header="0.3" footer="0.3"/>
  <headerFooter/>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4</vt:i4>
      </vt:variant>
    </vt:vector>
  </HeadingPairs>
  <TitlesOfParts>
    <vt:vector size="4" baseType="lpstr">
      <vt:lpstr>综合素质测评成绩</vt:lpstr>
      <vt:lpstr>智育测评</vt:lpstr>
      <vt:lpstr>德育测评</vt:lpstr>
      <vt:lpstr>文体测评</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思彤 肖</dc:creator>
  <cp:lastModifiedBy>LENOVO</cp:lastModifiedBy>
  <dcterms:created xsi:type="dcterms:W3CDTF">2024-08-21T06:20:00Z</dcterms:created>
  <dcterms:modified xsi:type="dcterms:W3CDTF">2024-09-02T06:36:47Z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56DA38EADFFD4AEA8E434F51E7CB1E28_13</vt:lpwstr>
  </property>
  <property fmtid="{D5CDD505-2E9C-101B-9397-08002B2CF9AE}" pid="3" name="KSOProductBuildVer">
    <vt:lpwstr>2052-12.1.0.17857</vt:lpwstr>
  </property>
</Properties>
</file>